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5.xml" ContentType="application/vnd.ms-excel.controlproperties+xml"/>
  <Override PartName="/xl/ctrlProps/ctrlProp4.xml" ContentType="application/vnd.ms-excel.controlproperties+xml"/>
  <Override PartName="/xl/ctrlProps/ctrlProp7.xml" ContentType="application/vnd.ms-excel.controlproperties+xml"/>
  <Override PartName="/xl/ctrlProps/ctrlProp6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1 BEVOELKERUNG\Bevölkerung - Strukturerhebung\2024\"/>
    </mc:Choice>
  </mc:AlternateContent>
  <xr:revisionPtr revIDLastSave="0" documentId="13_ncr:1_{9F3F6335-4329-493D-9845-7988290D0715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Arbeit" sheetId="27" r:id="rId1"/>
    <sheet name="Ausbildung" sheetId="31" r:id="rId2"/>
    <sheet name="zu Hause" sheetId="32" r:id="rId3"/>
    <sheet name="Uebersetzungen" sheetId="29" state="hidden" r:id="rId4"/>
  </sheets>
  <definedNames>
    <definedName name="_xlnm.Print_Area" localSheetId="0">Arbeit!$A$1:$W$58</definedName>
    <definedName name="_xlnm.Print_Area" localSheetId="1">Ausbildung!$A$1:$W$57</definedName>
    <definedName name="_xlnm.Print_Area" localSheetId="2">'zu Hause'!$A$1:$U$57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1" l="1"/>
  <c r="A10" i="32"/>
  <c r="A9" i="32"/>
  <c r="A57" i="32"/>
  <c r="A56" i="32"/>
  <c r="A54" i="32"/>
  <c r="A53" i="32"/>
  <c r="A52" i="32"/>
  <c r="A51" i="32"/>
  <c r="A50" i="32"/>
  <c r="B48" i="32"/>
  <c r="B47" i="32"/>
  <c r="B46" i="32"/>
  <c r="A46" i="32"/>
  <c r="B45" i="32"/>
  <c r="B44" i="32"/>
  <c r="B43" i="32"/>
  <c r="B42" i="32"/>
  <c r="B41" i="32"/>
  <c r="B40" i="32"/>
  <c r="B39" i="32"/>
  <c r="B38" i="32"/>
  <c r="B37" i="32"/>
  <c r="B36" i="32"/>
  <c r="B35" i="32"/>
  <c r="A35" i="32"/>
  <c r="B34" i="32"/>
  <c r="B33" i="32"/>
  <c r="B32" i="32"/>
  <c r="A32" i="32"/>
  <c r="B31" i="32"/>
  <c r="B30" i="32"/>
  <c r="B29" i="32"/>
  <c r="B28" i="32"/>
  <c r="B27" i="32"/>
  <c r="A27" i="32"/>
  <c r="B26" i="32"/>
  <c r="B25" i="32"/>
  <c r="B24" i="32"/>
  <c r="B23" i="32"/>
  <c r="B22" i="32"/>
  <c r="A22" i="32"/>
  <c r="B21" i="32"/>
  <c r="B20" i="32"/>
  <c r="B19" i="32"/>
  <c r="B18" i="32"/>
  <c r="A18" i="32"/>
  <c r="B17" i="32"/>
  <c r="B16" i="32"/>
  <c r="A16" i="32"/>
  <c r="A15" i="32"/>
  <c r="T14" i="32"/>
  <c r="S14" i="32"/>
  <c r="R14" i="32"/>
  <c r="Q14" i="32"/>
  <c r="P14" i="32"/>
  <c r="O14" i="32"/>
  <c r="N14" i="32"/>
  <c r="M14" i="32"/>
  <c r="L14" i="32"/>
  <c r="K14" i="32"/>
  <c r="J14" i="32"/>
  <c r="I14" i="32"/>
  <c r="H14" i="32"/>
  <c r="G14" i="32"/>
  <c r="F14" i="32"/>
  <c r="E14" i="32"/>
  <c r="D14" i="32"/>
  <c r="C14" i="32"/>
  <c r="S13" i="32"/>
  <c r="Q13" i="32"/>
  <c r="O13" i="32"/>
  <c r="M13" i="32"/>
  <c r="K13" i="32"/>
  <c r="I13" i="32"/>
  <c r="G13" i="32"/>
  <c r="E13" i="32"/>
  <c r="C13" i="32"/>
  <c r="A7" i="32"/>
  <c r="B34" i="31"/>
  <c r="B33" i="31"/>
  <c r="B32" i="31"/>
  <c r="A10" i="31"/>
  <c r="A9" i="31"/>
  <c r="A57" i="31"/>
  <c r="A56" i="31"/>
  <c r="A54" i="31"/>
  <c r="A53" i="31"/>
  <c r="A52" i="31"/>
  <c r="A51" i="31"/>
  <c r="A50" i="31"/>
  <c r="B48" i="31"/>
  <c r="B47" i="31"/>
  <c r="B46" i="31"/>
  <c r="A46" i="31"/>
  <c r="B45" i="31"/>
  <c r="B44" i="31"/>
  <c r="B43" i="31"/>
  <c r="B42" i="31"/>
  <c r="B41" i="31"/>
  <c r="B40" i="31"/>
  <c r="B39" i="31"/>
  <c r="B38" i="31"/>
  <c r="B37" i="31"/>
  <c r="B36" i="31"/>
  <c r="B35" i="31"/>
  <c r="A35" i="31"/>
  <c r="A32" i="31"/>
  <c r="B31" i="31"/>
  <c r="B30" i="31"/>
  <c r="B29" i="31"/>
  <c r="B28" i="31"/>
  <c r="B27" i="31"/>
  <c r="A27" i="31"/>
  <c r="B26" i="31"/>
  <c r="B25" i="31"/>
  <c r="B24" i="31"/>
  <c r="B23" i="31"/>
  <c r="B22" i="31"/>
  <c r="A22" i="31"/>
  <c r="B21" i="31"/>
  <c r="B20" i="31"/>
  <c r="B19" i="31"/>
  <c r="B18" i="31"/>
  <c r="A18" i="31"/>
  <c r="B17" i="31"/>
  <c r="B16" i="31"/>
  <c r="A16" i="31"/>
  <c r="A15" i="31"/>
  <c r="V14" i="31"/>
  <c r="U14" i="31"/>
  <c r="T14" i="31"/>
  <c r="S14" i="31"/>
  <c r="R14" i="31"/>
  <c r="Q14" i="31"/>
  <c r="P14" i="31"/>
  <c r="O14" i="31"/>
  <c r="N14" i="31"/>
  <c r="M14" i="31"/>
  <c r="L14" i="31"/>
  <c r="K14" i="31"/>
  <c r="J14" i="31"/>
  <c r="I14" i="31"/>
  <c r="H14" i="31"/>
  <c r="G14" i="31"/>
  <c r="F14" i="31"/>
  <c r="E14" i="31"/>
  <c r="D14" i="31"/>
  <c r="C14" i="31"/>
  <c r="U13" i="31"/>
  <c r="S13" i="31"/>
  <c r="Q13" i="31"/>
  <c r="O13" i="31"/>
  <c r="M13" i="31"/>
  <c r="K13" i="31"/>
  <c r="I13" i="31"/>
  <c r="G13" i="31"/>
  <c r="C13" i="31"/>
  <c r="A7" i="31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A58" i="27"/>
  <c r="A55" i="27"/>
  <c r="A54" i="27"/>
  <c r="A47" i="27"/>
  <c r="A36" i="27"/>
  <c r="A32" i="27"/>
  <c r="A27" i="27"/>
  <c r="A22" i="27"/>
  <c r="A18" i="27"/>
  <c r="A16" i="27"/>
  <c r="A15" i="27"/>
  <c r="U13" i="27"/>
  <c r="S13" i="27"/>
  <c r="Q13" i="27"/>
  <c r="O13" i="27"/>
  <c r="M13" i="27"/>
  <c r="A10" i="27"/>
  <c r="A9" i="27"/>
  <c r="R14" i="27"/>
  <c r="Q14" i="27"/>
  <c r="P14" i="27"/>
  <c r="O14" i="27"/>
  <c r="N14" i="27"/>
  <c r="M14" i="27"/>
  <c r="L14" i="27"/>
  <c r="K14" i="27"/>
  <c r="J14" i="27"/>
  <c r="I14" i="27"/>
  <c r="H14" i="27"/>
  <c r="G14" i="27"/>
  <c r="K13" i="27" l="1"/>
  <c r="I13" i="27"/>
  <c r="G13" i="27"/>
  <c r="C13" i="27"/>
  <c r="V14" i="27" l="1"/>
  <c r="U14" i="27"/>
  <c r="T14" i="27"/>
  <c r="S14" i="27"/>
  <c r="F14" i="27"/>
  <c r="E14" i="27"/>
  <c r="E13" i="27"/>
  <c r="A53" i="27" l="1"/>
  <c r="A52" i="27"/>
  <c r="A51" i="27"/>
  <c r="D14" i="27"/>
  <c r="C14" i="27"/>
  <c r="A7" i="27"/>
  <c r="A57" i="27"/>
</calcChain>
</file>

<file path=xl/sharedStrings.xml><?xml version="1.0" encoding="utf-8"?>
<sst xmlns="http://schemas.openxmlformats.org/spreadsheetml/2006/main" count="839" uniqueCount="283">
  <si>
    <t>Total</t>
  </si>
  <si>
    <t>Anzahl Personen</t>
  </si>
  <si>
    <t>(): Extrapolation aufgrund von 49 oder weniger Beobachtungen. Die Resultate sind mit grosser Vorsicht zu interpretieren.</t>
  </si>
  <si>
    <t>X: Extrapolation aufgrund von 4 oder weniger Beobachtungen. Die Resultate werden aus Gründen des Datenschutzes nicht publiziert.</t>
  </si>
  <si>
    <t>Die Grundgesamtheit der Strukturerhebung enthält alle Personen der ständigen Wohnbevölkerung ab vollendetem 15. Altersjahr, die in Privathaushalten leben.</t>
  </si>
  <si>
    <t>Aus der Grundgesamtheit ausgeschlossen wurden neben den Personen, die in Kollektivhaushalten leben, auch Diplomaten, internationale Funktionäre und deren Angehörige.</t>
  </si>
  <si>
    <t>Geschlecht</t>
  </si>
  <si>
    <t>Männer</t>
  </si>
  <si>
    <t>Frauen</t>
  </si>
  <si>
    <t>Alter</t>
  </si>
  <si>
    <t>Arbeitsmarktstatus</t>
  </si>
  <si>
    <t>Erwerbstätige</t>
  </si>
  <si>
    <t>Erwerbslose</t>
  </si>
  <si>
    <t>Nichterwerbspersonen</t>
  </si>
  <si>
    <t>Sozioprofessionelle Kategorien</t>
  </si>
  <si>
    <t>Oberstes Management</t>
  </si>
  <si>
    <t>Freie und gleichgestellte Berufe</t>
  </si>
  <si>
    <t>Andere Selbstständige</t>
  </si>
  <si>
    <t>Akademische Berufe und oberes Kader</t>
  </si>
  <si>
    <t>Intermediäre Berufe</t>
  </si>
  <si>
    <t>Qualifizierte nichtmanuelle Berufe</t>
  </si>
  <si>
    <t>Qualifizierte manuelle Berufe</t>
  </si>
  <si>
    <t>Ungelernte Angestellte und Arbeiter</t>
  </si>
  <si>
    <t>Lernende in dualer beruflicher Grundbildung (Lehrlinge)</t>
  </si>
  <si>
    <t>Nicht zuteilbare Erwerbstätige (fehlende oder unklare Basisdaten oder unplausible Kombination)</t>
  </si>
  <si>
    <t>Erwerbslose und Nichterwerbspersonen</t>
  </si>
  <si>
    <t>Höchste abgeschlossene Ausbildung</t>
  </si>
  <si>
    <t>Sekundarstufe II</t>
  </si>
  <si>
    <t>Tertiärstufe</t>
  </si>
  <si>
    <t>Quelle: BFS (Strukturerhebung)</t>
  </si>
  <si>
    <t>Tabelle</t>
  </si>
  <si>
    <t>Code</t>
  </si>
  <si>
    <t>DE</t>
  </si>
  <si>
    <t>RM</t>
  </si>
  <si>
    <t>IT</t>
  </si>
  <si>
    <t>Sprache</t>
  </si>
  <si>
    <t>T1</t>
  </si>
  <si>
    <t>&lt;Fachbereich&gt;</t>
  </si>
  <si>
    <t>Daten &amp; Statistik</t>
  </si>
  <si>
    <t>Datas &amp; Statistica</t>
  </si>
  <si>
    <t>Dati &amp; Statistica</t>
  </si>
  <si>
    <t>&lt;Titel&gt;</t>
  </si>
  <si>
    <t>&lt;SpaltenTitel_1&gt;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</si>
  <si>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</si>
  <si>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</si>
  <si>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</si>
  <si>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</si>
  <si>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</si>
  <si>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</si>
  <si>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</si>
  <si>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</si>
  <si>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</si>
  <si>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</si>
  <si>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&lt;Legende_1&gt;</t>
  </si>
  <si>
    <t>&lt;Legende_2&gt;</t>
  </si>
  <si>
    <t>&lt;Legende_3&gt;</t>
  </si>
  <si>
    <t>&lt;Legende_4&gt;</t>
  </si>
  <si>
    <t>&lt;Aktualisierung&gt;</t>
  </si>
  <si>
    <t>&lt;UTitel&gt;</t>
  </si>
  <si>
    <t>&lt;Quelle_1&gt;</t>
  </si>
  <si>
    <t>T1-2</t>
  </si>
  <si>
    <t>T2</t>
  </si>
  <si>
    <t>&lt;T2Titel&gt;</t>
  </si>
  <si>
    <t>&lt;T2UTitel&gt;</t>
  </si>
  <si>
    <t>&lt;SpaltenTitel_1.1&gt;</t>
  </si>
  <si>
    <t>&lt;SpaltenTitel_1.2&gt;</t>
  </si>
  <si>
    <t>Totale</t>
  </si>
  <si>
    <t>Numero di persone</t>
  </si>
  <si>
    <t>Fonte: UST - Rilevazione strutturale (RS)</t>
  </si>
  <si>
    <t>Sesso</t>
  </si>
  <si>
    <t>Età</t>
  </si>
  <si>
    <t>Uomini</t>
  </si>
  <si>
    <t>Donne</t>
  </si>
  <si>
    <t>Occupati</t>
  </si>
  <si>
    <t>Disoccupati</t>
  </si>
  <si>
    <t>Persone senza attività professionale</t>
  </si>
  <si>
    <t>Management superiore</t>
  </si>
  <si>
    <t>Professioni liberali ed equiparate</t>
  </si>
  <si>
    <t>Altri indipendenti</t>
  </si>
  <si>
    <t>Professioni accademiche e quadri superiori</t>
  </si>
  <si>
    <t>Professioni intermediarie</t>
  </si>
  <si>
    <t>Professioni qualificate non manuali</t>
  </si>
  <si>
    <t>Professioni qualificate manuali</t>
  </si>
  <si>
    <t>Impiegati e operai non qualificati</t>
  </si>
  <si>
    <t>Persone in formazione professionale di base duale (apprendisti)</t>
  </si>
  <si>
    <t>Occupati non attribuibili (dati di base mancanti)</t>
  </si>
  <si>
    <t>Disoccupati e persone senza attività professionale</t>
  </si>
  <si>
    <t>Senza formazione postobbligatoria</t>
  </si>
  <si>
    <t>Livello secondario II</t>
  </si>
  <si>
    <t>Livello terziario</t>
  </si>
  <si>
    <t>Umens</t>
  </si>
  <si>
    <t>Dunnas</t>
  </si>
  <si>
    <t>Gender</t>
  </si>
  <si>
    <t>Vegliadetgna</t>
  </si>
  <si>
    <t>Status dal martgà da lavur</t>
  </si>
  <si>
    <t>Categorias socioprofessiunalas</t>
  </si>
  <si>
    <t>La pli auta scolaziun terminada</t>
  </si>
  <si>
    <t>Professiuns libras ed egualas</t>
  </si>
  <si>
    <t>Autras persunas independentas</t>
  </si>
  <si>
    <t>Professiuns academicas e cader superiur</t>
  </si>
  <si>
    <t>professiuns intermediaras</t>
  </si>
  <si>
    <t>Professiuns betg manualas qualifitgadas</t>
  </si>
  <si>
    <t>Professiuns manualas qualifitgadas</t>
  </si>
  <si>
    <t>Emploiads e lavurants betg emprendids</t>
  </si>
  <si>
    <t>Emprendistas ed emprendists en ina furmaziun fundamentala professiunala dubla (emprendists)</t>
  </si>
  <si>
    <t>Persunas cun activitad da gudogn che n'èn betg attribuiblas (datas da basa mancantas u betg cleras u ina cumbinaziun inclausibla)</t>
  </si>
  <si>
    <t>Persunas senza activitad da gudogn e persunas senza activitad da gudogn</t>
  </si>
  <si>
    <t>Stgalim secundar II</t>
  </si>
  <si>
    <t>Stgalim terziar</t>
  </si>
  <si>
    <t>Management suprem</t>
  </si>
  <si>
    <t>Persunas senza activitad da gudogn</t>
  </si>
  <si>
    <t>Persunas cun activitad da gudogn</t>
  </si>
  <si>
    <t>Dumber da persunas</t>
  </si>
  <si>
    <t>Funtauna: UST (enquista da structura)</t>
  </si>
  <si>
    <t>&lt;SpaltenTitel_4&gt;</t>
  </si>
  <si>
    <t>Staatsangehörigkeit</t>
  </si>
  <si>
    <t>Naziunalitad</t>
  </si>
  <si>
    <t>Cittadinanza</t>
  </si>
  <si>
    <t>Status sul mercato del lavoro</t>
  </si>
  <si>
    <t>Categorie socioprofessionali</t>
  </si>
  <si>
    <t>Istruzione di massimo livello</t>
  </si>
  <si>
    <t>15-24</t>
  </si>
  <si>
    <t>65 und älter</t>
  </si>
  <si>
    <t>65 e dapli</t>
  </si>
  <si>
    <t>65 e più</t>
  </si>
  <si>
    <t>Svizzera</t>
  </si>
  <si>
    <t>Svizra</t>
  </si>
  <si>
    <t>Schweiz</t>
  </si>
  <si>
    <t>Ohne nachobligatorische Aubildung</t>
  </si>
  <si>
    <t>Senza furmaziun postobligatorica</t>
  </si>
  <si>
    <t>&lt;SpaltenTitel_5&gt;</t>
  </si>
  <si>
    <t>&lt;SpaltenTitel_6&gt;</t>
  </si>
  <si>
    <t>&lt;SpaltenTitel_7&gt;</t>
  </si>
  <si>
    <t>&lt;SpaltenTitel_8&gt;</t>
  </si>
  <si>
    <t>Ständige Wohnbevölkerung ab 15 Jahren</t>
  </si>
  <si>
    <t>Populaziun residenta permanenta a partir da 15 onns</t>
  </si>
  <si>
    <t>Popolazione residente permanente di 15 anni e più</t>
  </si>
  <si>
    <t>Rätoromanisch</t>
  </si>
  <si>
    <t>Englisch</t>
  </si>
  <si>
    <t>Andere Sprache/n</t>
  </si>
  <si>
    <t>Romanico</t>
  </si>
  <si>
    <t>Inglese</t>
  </si>
  <si>
    <t>Altra lingua</t>
  </si>
  <si>
    <t>Autra lingua</t>
  </si>
  <si>
    <t>Englais</t>
  </si>
  <si>
    <t>Rumantsch</t>
  </si>
  <si>
    <t>Vertrauens- intervall: 
± (in %)</t>
  </si>
  <si>
    <t>Interval da confidenza: 
± (en %)</t>
  </si>
  <si>
    <t>Intervallo di confidenza: 
± (in %)</t>
  </si>
  <si>
    <t>Migrationsstatus</t>
  </si>
  <si>
    <t>Status migratorio</t>
  </si>
  <si>
    <t>Status da migraziun</t>
  </si>
  <si>
    <t>45-64</t>
  </si>
  <si>
    <t>25-44</t>
  </si>
  <si>
    <t>EU und EFTA</t>
  </si>
  <si>
    <t>Anderer europäischer Staat</t>
  </si>
  <si>
    <t>Andere Staaten</t>
  </si>
  <si>
    <t>Staatsangehörigkeit unbekannt</t>
  </si>
  <si>
    <t>UE ed AECL</t>
  </si>
  <si>
    <t>In auter pajais europeic</t>
  </si>
  <si>
    <t>Auters stadis</t>
  </si>
  <si>
    <t>Naziunalitad n'è betg enconuschenta</t>
  </si>
  <si>
    <t>UE e EFTA</t>
  </si>
  <si>
    <t>Altro paese europeo</t>
  </si>
  <si>
    <t>Altri paesi</t>
  </si>
  <si>
    <t>Nazionalità sconosciuta</t>
  </si>
  <si>
    <t>&lt;Legende_5&gt;</t>
  </si>
  <si>
    <t>Die Befragten konnten mehrere Hauptsprachen nennen.</t>
  </si>
  <si>
    <t>Gli intervistati potevano indicare più lingue principali.</t>
  </si>
  <si>
    <t>Las persunas interrogadas han pudì inditgar pliras linguas principalas.</t>
  </si>
  <si>
    <t>&lt;T2Zeilentitel_6.3&gt;</t>
  </si>
  <si>
    <t>&lt;T2Zeilentitel_6.2&gt;</t>
  </si>
  <si>
    <t>&lt;T2Zeilentitel_6.1&gt;</t>
  </si>
  <si>
    <t>Schweizer/innen ohne Migrationshintergrund</t>
  </si>
  <si>
    <t>Schweizer/innen mit Migrationshintergrund</t>
  </si>
  <si>
    <t>Ausländer/innen der ersten Generation</t>
  </si>
  <si>
    <t>Ausländer/innen der zweiten und höheren Generation</t>
  </si>
  <si>
    <t>Migrationshintergrund unbekannt</t>
  </si>
  <si>
    <t>&lt;Zeilentitel_2.1&gt;</t>
  </si>
  <si>
    <t>&lt;Zeilentitel_2.2&gt;</t>
  </si>
  <si>
    <t>&lt;Zeilentitel_3.1&gt;</t>
  </si>
  <si>
    <t>&lt;Zeilentitel_3.2&gt;</t>
  </si>
  <si>
    <t>&lt;Zeilentitel_3.3&gt;</t>
  </si>
  <si>
    <t>&lt;Zeilentitel_3.4&gt;</t>
  </si>
  <si>
    <t>&lt;Zeilentitel_4.1&gt;</t>
  </si>
  <si>
    <t>&lt;Zeilentitel_4.2&gt;</t>
  </si>
  <si>
    <t>&lt;Zeilentitel_4.3&gt;</t>
  </si>
  <si>
    <t>&lt;Zeilentitel_4.4&gt;</t>
  </si>
  <si>
    <t>&lt;Zeilentitel_4.5&gt;</t>
  </si>
  <si>
    <t>&lt;Zeilentitel_5.1&gt;</t>
  </si>
  <si>
    <t>&lt;Zeilentitel_5.2&gt;</t>
  </si>
  <si>
    <t>&lt;Zeilentitel_5.3&gt;</t>
  </si>
  <si>
    <t>&lt;Zeilentitel_5.4&gt;</t>
  </si>
  <si>
    <t>&lt;Zeilentitel_5.5&gt;</t>
  </si>
  <si>
    <t>&lt;Zeilentitel_6.1&gt;</t>
  </si>
  <si>
    <t>&lt;Zeilentitel_6.2&gt;</t>
  </si>
  <si>
    <t>&lt;Zeilentitel_6.3&gt;</t>
  </si>
  <si>
    <t>&lt;Zeilentitel_7.1&gt;</t>
  </si>
  <si>
    <t>&lt;Zeilentitel_7.2&gt;</t>
  </si>
  <si>
    <t>&lt;Zeilentitel_7.3&gt;</t>
  </si>
  <si>
    <t>&lt;Zeilentitel_7.4&gt;</t>
  </si>
  <si>
    <t>&lt;Zeilentitel_7.5&gt;</t>
  </si>
  <si>
    <t>&lt;Zeilentitel_7.6&gt;</t>
  </si>
  <si>
    <t>&lt;Zeilentitel_7.7&gt;</t>
  </si>
  <si>
    <t>&lt;Zeilentitel_7.8&gt;</t>
  </si>
  <si>
    <t>&lt;Zeilentitel_7.9&gt;</t>
  </si>
  <si>
    <t>&lt;Zeilentitel_7.10&gt;</t>
  </si>
  <si>
    <t>&lt;Zeilentitel_7.11&gt;</t>
  </si>
  <si>
    <t>&lt;Zeilentitel_8.1&gt;</t>
  </si>
  <si>
    <t>&lt;Zeilentitel_8.2&gt;</t>
  </si>
  <si>
    <t>&lt;Zeilentitel_8.3&gt;</t>
  </si>
  <si>
    <t>&lt;SpaltenTitel_9&gt;</t>
  </si>
  <si>
    <t>&lt;SpaltenTitel_10&gt;</t>
  </si>
  <si>
    <t>Bei der Arbeit gesprochene Sprachen, Kanton Graubünden</t>
  </si>
  <si>
    <t>Linguas discurridas a la lavur, chantun Grischun</t>
  </si>
  <si>
    <t>Lingue parlate sul lavoro, Canton Grigioni</t>
  </si>
  <si>
    <t>Total Bevölkerung</t>
  </si>
  <si>
    <t>Totale popolazione</t>
  </si>
  <si>
    <t>Total Erwerbstätige</t>
  </si>
  <si>
    <t>Total persunas cun activitad da gudogn</t>
  </si>
  <si>
    <t>Totale persone occupate</t>
  </si>
  <si>
    <t>Schweizerdeutsch</t>
  </si>
  <si>
    <t>Tudestg svizzer</t>
  </si>
  <si>
    <t>Svizzero tedesco</t>
  </si>
  <si>
    <t>Tedesco</t>
  </si>
  <si>
    <t>Tudestg</t>
  </si>
  <si>
    <t>Deutsch</t>
  </si>
  <si>
    <t>Französisch</t>
  </si>
  <si>
    <t>Franzos</t>
  </si>
  <si>
    <t>Francese</t>
  </si>
  <si>
    <t>Tessiner/Bündner-italienischer Dialekt</t>
  </si>
  <si>
    <t>Dialetto ticinese/grigionese-italiano</t>
  </si>
  <si>
    <t>Italiano</t>
  </si>
  <si>
    <t>Talian</t>
  </si>
  <si>
    <t>Dialect tessinais/grischun-talian</t>
  </si>
  <si>
    <t>Italienisch</t>
  </si>
  <si>
    <t>Vollzeiterwerbstätige (90-100%)</t>
  </si>
  <si>
    <t>Teilzeiterwerbstätige I (70-89%)</t>
  </si>
  <si>
    <t>Teilzeiterwerbstätige II (50-69%)</t>
  </si>
  <si>
    <t>Teilzeiterwerbstätige III (weniger als 50%)</t>
  </si>
  <si>
    <t>&lt;Zeilentitel_6.4&gt;</t>
  </si>
  <si>
    <t>Occupati a tempo pieno (90-100%)</t>
  </si>
  <si>
    <t>Occupati a tempo parziale I (70-89%)</t>
  </si>
  <si>
    <t>Occupati a tempo parziale II (50-69%)</t>
  </si>
  <si>
    <t>Occupati a tempo parziale III (meno del 50%)</t>
  </si>
  <si>
    <t>Persunas cun activitad da gudogn a temp cumplain (90-100%)</t>
  </si>
  <si>
    <t>Persunas cun activitad da gudogn a temp parzial I (70-89%)</t>
  </si>
  <si>
    <t>Persunas cun activitad da gudogn a temp parzial II (50-69%)</t>
  </si>
  <si>
    <t>Persunas cun activitad da gudogn a temp parzial III (main che 50%)</t>
  </si>
  <si>
    <t>Personen in Ausbildung</t>
  </si>
  <si>
    <t>&lt;T2SpaltenTitel_2&gt;</t>
  </si>
  <si>
    <t>In der Ausbildung gesprochene Sprachen, Kanton Graubünden</t>
  </si>
  <si>
    <t>Linguas discurridas en la scolaziun, chantun Grischun</t>
  </si>
  <si>
    <t>Lingue parlate durante la formazione, Canton Grigioni</t>
  </si>
  <si>
    <t>T3</t>
  </si>
  <si>
    <t>&lt;T3Titel&gt;</t>
  </si>
  <si>
    <t>&lt;T3UTitel&gt;</t>
  </si>
  <si>
    <t>Zu Hause gesprochene Sprachen im Kanton Graubünden</t>
  </si>
  <si>
    <t>Lingue parlate a casa nel Canton Grigioni</t>
  </si>
  <si>
    <t>Linguas discurridas a chasa en il chantun Grischun</t>
  </si>
  <si>
    <t>Total populaziun</t>
  </si>
  <si>
    <t>Svizzers senza retroterra da migraziun</t>
  </si>
  <si>
    <t>Svizzeri/e senza un passato migratorio</t>
  </si>
  <si>
    <t>Svizzers cun ina migraziun</t>
  </si>
  <si>
    <t>Svizzeri/e con un passato migratorio</t>
  </si>
  <si>
    <t>Persunas estras da l'emprima generaziun</t>
  </si>
  <si>
    <t>Stranieri/e di prima generazione</t>
  </si>
  <si>
    <t>Persunas estras da la segunda generaziun e da l'emprima</t>
  </si>
  <si>
    <t>Stranieri/e di seconda generazione e più</t>
  </si>
  <si>
    <t>La migraziun n'è betg enconuschenta</t>
  </si>
  <si>
    <t>Passato migratorio sconosciuto</t>
  </si>
  <si>
    <t>(): Extrapolaziun sin basa da 49 u damain observaziuns. Ils resultats ston vegnir interpretads cun gronda precauziun.</t>
  </si>
  <si>
    <t>(): Estrapolazione basata su 49 osservazioni o meno. I risultati devono essere interpretati con molta cautela.</t>
  </si>
  <si>
    <t>X: Extrapolaziun pervia da 4 u damain observaziuns. Per motivs da la protecziun da datas na vegnan ils resultats betg publitgads.</t>
  </si>
  <si>
    <t>X: Estrapolazione basata su 4 o meno osservazioni. I risultati non sono pubblicati per motivi di protezione dei dati.</t>
  </si>
  <si>
    <t>La survista da basa da l'enquista da structura cumpiglia tut las persunas da la populaziun residenta permanenta a partir da 15 onns che vivan en chasadas privatas.</t>
  </si>
  <si>
    <t>La popolazione dell'indagine sulla struttura comprende tutte le persone della popolazione residente permanente di età pari o superiore ai 15 anni che vivono in famiglie.</t>
  </si>
  <si>
    <t>Exclus da la totalitad fundamentala èn vegnids ultra da las persunas che vivan en chasadas collectivas er diplomats, funcziunaris internaziunals e lur confamigliars.</t>
  </si>
  <si>
    <t>Oltre alle persone che vivono in economie domestiche collettive, sono stati esclusi i diplomatici, i funzionari internazionali e i loro familiari.</t>
  </si>
  <si>
    <t>X</t>
  </si>
  <si>
    <t>Letztmals aktualisiert am: 05.03.2026</t>
  </si>
  <si>
    <t>Ultima actualisaziun: 05.03.2026</t>
  </si>
  <si>
    <t>Ulimo aggiornamento: 05.03.2026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</si>
</sst>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_ * #,##0_ ;_ * \-#,##0_ ;_ * &quot;-&quot;??_ ;_ @_ "/>
    <numFmt numFmtId="166" formatCode="_-* #,##0.00\ _€_-;\-* #,##0.00\ _€_-;_-* &quot;-&quot;??\ _€_-;_-@_-"/>
    <numFmt numFmtId="167" formatCode="0.0"/>
    <numFmt numFmtId="168" formatCode="\(0.0\)"/>
    <numFmt numFmtId="169" formatCode="#\'##0"/>
    <numFmt numFmtId="170" formatCode="* #,###"/>
    <numFmt numFmtId="171" formatCode="\(#\'##0\)"/>
    <numFmt numFmtId="172" formatCode="\(##0\)"/>
    <numFmt numFmtId="173" formatCode="\(0\)"/>
  </numFmts>
  <fonts count="20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name val="Arial"/>
      <family val="2"/>
    </font>
    <font>
      <sz val="14"/>
      <color rgb="FFFF0000"/>
      <name val="Arial"/>
      <family val="2"/>
    </font>
    <font>
      <b/>
      <sz val="10"/>
      <color indexed="8"/>
      <name val="Arial Narrow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sz val="8"/>
      <color rgb="FF000000"/>
      <name val="Segoe UI"/>
      <family val="2"/>
    </font>
    <font>
      <sz val="10"/>
      <color rgb="FF4C4C4C"/>
      <name val="Arial"/>
      <family val="2"/>
    </font>
    <font>
      <sz val="10"/>
      <color rgb="FFFF0000"/>
      <name val="Arial"/>
      <family val="2"/>
    </font>
    <font>
      <sz val="10"/>
      <color theme="0" tint="-0.1499984740745262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0" fontId="3" fillId="0" borderId="0"/>
    <xf numFmtId="0" fontId="6" fillId="0" borderId="0"/>
    <xf numFmtId="0" fontId="1" fillId="0" borderId="0"/>
    <xf numFmtId="0" fontId="3" fillId="0" borderId="0"/>
  </cellStyleXfs>
  <cellXfs count="175">
    <xf numFmtId="0" fontId="0" fillId="0" borderId="0" xfId="0"/>
    <xf numFmtId="0" fontId="3" fillId="4" borderId="0" xfId="0" applyFont="1" applyFill="1"/>
    <xf numFmtId="0" fontId="8" fillId="4" borderId="0" xfId="0" applyFont="1" applyFill="1"/>
    <xf numFmtId="0" fontId="9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165" fontId="10" fillId="3" borderId="0" xfId="1" applyNumberFormat="1" applyFont="1" applyFill="1" applyBorder="1" applyAlignment="1" applyProtection="1">
      <alignment horizontal="left" vertical="top"/>
    </xf>
    <xf numFmtId="0" fontId="2" fillId="0" borderId="0" xfId="0" applyFont="1"/>
    <xf numFmtId="0" fontId="12" fillId="3" borderId="0" xfId="0" applyFont="1" applyFill="1" applyAlignment="1">
      <alignment horizontal="left" vertical="center"/>
    </xf>
    <xf numFmtId="0" fontId="2" fillId="2" borderId="0" xfId="0" applyFont="1" applyFill="1"/>
    <xf numFmtId="3" fontId="2" fillId="0" borderId="0" xfId="0" applyNumberFormat="1" applyFont="1"/>
    <xf numFmtId="169" fontId="2" fillId="0" borderId="0" xfId="0" applyNumberFormat="1" applyFont="1"/>
    <xf numFmtId="0" fontId="0" fillId="4" borderId="0" xfId="0" applyFill="1"/>
    <xf numFmtId="0" fontId="15" fillId="4" borderId="0" xfId="0" applyFont="1" applyFill="1"/>
    <xf numFmtId="0" fontId="12" fillId="3" borderId="3" xfId="0" applyFont="1" applyFill="1" applyBorder="1" applyAlignment="1">
      <alignment horizontal="left" vertical="center"/>
    </xf>
    <xf numFmtId="0" fontId="14" fillId="6" borderId="0" xfId="0" applyFont="1" applyFill="1" applyBorder="1" applyAlignment="1">
      <alignment horizontal="left" vertical="top" wrapText="1"/>
    </xf>
    <xf numFmtId="0" fontId="2" fillId="7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center" wrapText="1"/>
    </xf>
    <xf numFmtId="0" fontId="2" fillId="8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vertical="top" wrapText="1"/>
    </xf>
    <xf numFmtId="0" fontId="7" fillId="7" borderId="0" xfId="0" applyFont="1" applyFill="1" applyBorder="1" applyAlignment="1">
      <alignment horizontal="left" vertical="top" wrapText="1"/>
    </xf>
    <xf numFmtId="0" fontId="2" fillId="7" borderId="0" xfId="0" applyFont="1" applyFill="1" applyBorder="1" applyAlignment="1" applyProtection="1">
      <alignment horizontal="left" vertical="top" wrapText="1"/>
      <protection locked="0"/>
    </xf>
    <xf numFmtId="0" fontId="2" fillId="8" borderId="0" xfId="0" applyFont="1" applyFill="1" applyBorder="1" applyAlignment="1">
      <alignment horizontal="left" vertical="top" wrapText="1"/>
    </xf>
    <xf numFmtId="0" fontId="17" fillId="0" borderId="0" xfId="0" applyFont="1" applyBorder="1" applyAlignment="1">
      <alignment wrapText="1"/>
    </xf>
    <xf numFmtId="0" fontId="2" fillId="0" borderId="0" xfId="0" applyFont="1" applyBorder="1"/>
    <xf numFmtId="169" fontId="3" fillId="4" borderId="0" xfId="1" applyNumberFormat="1" applyFont="1" applyFill="1" applyBorder="1" applyAlignment="1" applyProtection="1">
      <alignment horizontal="right" vertical="center" wrapText="1"/>
    </xf>
    <xf numFmtId="167" fontId="3" fillId="4" borderId="0" xfId="1" applyNumberFormat="1" applyFont="1" applyFill="1" applyBorder="1" applyAlignment="1" applyProtection="1">
      <alignment horizontal="right" vertical="center" wrapText="1"/>
    </xf>
    <xf numFmtId="1" fontId="3" fillId="4" borderId="0" xfId="1" applyNumberFormat="1" applyFont="1" applyFill="1" applyBorder="1" applyAlignment="1" applyProtection="1">
      <alignment horizontal="right" vertical="center" wrapText="1"/>
    </xf>
    <xf numFmtId="0" fontId="13" fillId="3" borderId="17" xfId="0" applyFont="1" applyFill="1" applyBorder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2" fillId="0" borderId="18" xfId="0" applyFont="1" applyBorder="1"/>
    <xf numFmtId="0" fontId="13" fillId="3" borderId="8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top"/>
    </xf>
    <xf numFmtId="0" fontId="2" fillId="0" borderId="8" xfId="0" applyFont="1" applyBorder="1"/>
    <xf numFmtId="0" fontId="2" fillId="0" borderId="9" xfId="0" applyFont="1" applyBorder="1"/>
    <xf numFmtId="0" fontId="8" fillId="4" borderId="0" xfId="0" applyFont="1" applyFill="1" applyAlignment="1">
      <alignment horizontal="left" vertical="top" wrapText="1"/>
    </xf>
    <xf numFmtId="0" fontId="12" fillId="3" borderId="0" xfId="0" applyNumberFormat="1" applyFont="1" applyFill="1" applyBorder="1" applyAlignment="1" applyProtection="1">
      <alignment horizontal="left" vertical="center"/>
    </xf>
    <xf numFmtId="0" fontId="8" fillId="4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8" fillId="4" borderId="0" xfId="0" applyFont="1" applyFill="1" applyAlignment="1">
      <alignment horizontal="left" vertical="top" wrapText="1"/>
    </xf>
    <xf numFmtId="0" fontId="12" fillId="3" borderId="0" xfId="0" applyFont="1" applyFill="1" applyBorder="1" applyAlignment="1">
      <alignment horizontal="left" vertical="center"/>
    </xf>
    <xf numFmtId="0" fontId="12" fillId="3" borderId="24" xfId="0" applyFont="1" applyFill="1" applyBorder="1" applyAlignment="1">
      <alignment horizontal="left" vertical="center" wrapText="1"/>
    </xf>
    <xf numFmtId="0" fontId="12" fillId="3" borderId="23" xfId="0" applyFont="1" applyFill="1" applyBorder="1" applyAlignment="1">
      <alignment horizontal="left" vertical="center" wrapText="1"/>
    </xf>
    <xf numFmtId="0" fontId="12" fillId="3" borderId="2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4" borderId="26" xfId="1" applyNumberFormat="1" applyFont="1" applyFill="1" applyBorder="1" applyAlignment="1" applyProtection="1">
      <alignment horizontal="right" vertical="top" wrapText="1"/>
    </xf>
    <xf numFmtId="0" fontId="12" fillId="4" borderId="27" xfId="1" applyNumberFormat="1" applyFont="1" applyFill="1" applyBorder="1" applyAlignment="1" applyProtection="1">
      <alignment horizontal="right" vertical="top" wrapText="1"/>
    </xf>
    <xf numFmtId="0" fontId="12" fillId="4" borderId="20" xfId="1" applyNumberFormat="1" applyFont="1" applyFill="1" applyBorder="1" applyAlignment="1" applyProtection="1">
      <alignment horizontal="right" vertical="top" wrapText="1"/>
    </xf>
    <xf numFmtId="0" fontId="12" fillId="4" borderId="28" xfId="1" applyNumberFormat="1" applyFont="1" applyFill="1" applyBorder="1" applyAlignment="1" applyProtection="1">
      <alignment horizontal="right" vertical="top" wrapText="1"/>
    </xf>
    <xf numFmtId="0" fontId="12" fillId="4" borderId="29" xfId="1" applyNumberFormat="1" applyFont="1" applyFill="1" applyBorder="1" applyAlignment="1" applyProtection="1">
      <alignment horizontal="right" vertical="top" wrapText="1"/>
    </xf>
    <xf numFmtId="0" fontId="12" fillId="4" borderId="30" xfId="1" applyNumberFormat="1" applyFont="1" applyFill="1" applyBorder="1" applyAlignment="1" applyProtection="1">
      <alignment horizontal="right" vertical="top" wrapText="1"/>
    </xf>
    <xf numFmtId="0" fontId="12" fillId="4" borderId="31" xfId="1" applyNumberFormat="1" applyFont="1" applyFill="1" applyBorder="1" applyAlignment="1" applyProtection="1">
      <alignment horizontal="right" vertical="top" wrapText="1"/>
    </xf>
    <xf numFmtId="0" fontId="12" fillId="4" borderId="21" xfId="1" applyNumberFormat="1" applyFont="1" applyFill="1" applyBorder="1" applyAlignment="1" applyProtection="1">
      <alignment horizontal="right" vertical="top" wrapText="1"/>
    </xf>
    <xf numFmtId="0" fontId="8" fillId="4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3" fillId="3" borderId="15" xfId="0" applyFont="1" applyFill="1" applyBorder="1" applyAlignment="1">
      <alignment horizontal="center" vertical="top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3" fontId="3" fillId="4" borderId="0" xfId="3" applyNumberFormat="1" applyFont="1" applyFill="1" applyBorder="1" applyAlignment="1" applyProtection="1">
      <alignment horizontal="right" vertical="center" wrapText="1"/>
    </xf>
    <xf numFmtId="167" fontId="3" fillId="4" borderId="0" xfId="3" applyNumberFormat="1" applyFont="1" applyFill="1" applyBorder="1" applyAlignment="1" applyProtection="1">
      <alignment horizontal="right" vertical="center" wrapText="1"/>
    </xf>
    <xf numFmtId="171" fontId="3" fillId="4" borderId="0" xfId="3" applyNumberFormat="1" applyFont="1" applyFill="1" applyBorder="1" applyAlignment="1" applyProtection="1">
      <alignment horizontal="right" vertical="center" wrapText="1"/>
    </xf>
    <xf numFmtId="168" fontId="3" fillId="4" borderId="0" xfId="3" applyNumberFormat="1" applyFont="1" applyFill="1" applyBorder="1" applyAlignment="1" applyProtection="1">
      <alignment horizontal="right" vertical="center" wrapText="1"/>
    </xf>
    <xf numFmtId="172" fontId="3" fillId="4" borderId="0" xfId="3" applyNumberFormat="1" applyFont="1" applyFill="1" applyBorder="1" applyAlignment="1" applyProtection="1">
      <alignment horizontal="right" vertical="center" wrapText="1"/>
    </xf>
    <xf numFmtId="168" fontId="3" fillId="4" borderId="0" xfId="1" applyNumberFormat="1" applyFont="1" applyFill="1" applyBorder="1" applyAlignment="1" applyProtection="1">
      <alignment horizontal="right" vertical="center" wrapText="1"/>
    </xf>
    <xf numFmtId="167" fontId="19" fillId="4" borderId="0" xfId="1" applyNumberFormat="1" applyFont="1" applyFill="1" applyBorder="1" applyAlignment="1" applyProtection="1">
      <alignment horizontal="right" vertical="center" wrapText="1"/>
    </xf>
    <xf numFmtId="3" fontId="19" fillId="4" borderId="0" xfId="3" applyNumberFormat="1" applyFont="1" applyFill="1" applyBorder="1" applyAlignment="1" applyProtection="1">
      <alignment horizontal="right" vertical="center" wrapText="1"/>
    </xf>
    <xf numFmtId="167" fontId="19" fillId="4" borderId="0" xfId="3" applyNumberFormat="1" applyFont="1" applyFill="1" applyBorder="1" applyAlignment="1" applyProtection="1">
      <alignment horizontal="right" vertical="center" wrapText="1"/>
    </xf>
    <xf numFmtId="3" fontId="3" fillId="4" borderId="32" xfId="3" applyNumberFormat="1" applyFont="1" applyFill="1" applyBorder="1" applyAlignment="1" applyProtection="1">
      <alignment horizontal="right" vertical="center" wrapText="1"/>
    </xf>
    <xf numFmtId="167" fontId="3" fillId="4" borderId="32" xfId="3" applyNumberFormat="1" applyFont="1" applyFill="1" applyBorder="1" applyAlignment="1" applyProtection="1">
      <alignment horizontal="right" vertical="center" wrapText="1"/>
    </xf>
    <xf numFmtId="167" fontId="3" fillId="4" borderId="32" xfId="1" applyNumberFormat="1" applyFont="1" applyFill="1" applyBorder="1" applyAlignment="1" applyProtection="1">
      <alignment horizontal="right" vertical="center" wrapText="1"/>
    </xf>
    <xf numFmtId="171" fontId="3" fillId="4" borderId="32" xfId="3" applyNumberFormat="1" applyFont="1" applyFill="1" applyBorder="1" applyAlignment="1" applyProtection="1">
      <alignment horizontal="right" vertical="center" wrapText="1"/>
    </xf>
    <xf numFmtId="168" fontId="3" fillId="4" borderId="32" xfId="3" applyNumberFormat="1" applyFont="1" applyFill="1" applyBorder="1" applyAlignment="1" applyProtection="1">
      <alignment horizontal="right" vertical="center" wrapText="1"/>
    </xf>
    <xf numFmtId="170" fontId="11" fillId="4" borderId="23" xfId="3" applyNumberFormat="1" applyFont="1" applyFill="1" applyBorder="1" applyAlignment="1" applyProtection="1">
      <alignment horizontal="right" vertical="center" wrapText="1"/>
    </xf>
    <xf numFmtId="167" fontId="11" fillId="4" borderId="33" xfId="3" applyNumberFormat="1" applyFont="1" applyFill="1" applyBorder="1" applyAlignment="1" applyProtection="1">
      <alignment horizontal="right" vertical="center" wrapText="1"/>
    </xf>
    <xf numFmtId="167" fontId="11" fillId="4" borderId="33" xfId="1" applyNumberFormat="1" applyFont="1" applyFill="1" applyBorder="1" applyAlignment="1" applyProtection="1">
      <alignment horizontal="right" vertical="center" wrapText="1"/>
    </xf>
    <xf numFmtId="170" fontId="11" fillId="4" borderId="33" xfId="3" applyNumberFormat="1" applyFont="1" applyFill="1" applyBorder="1" applyAlignment="1" applyProtection="1">
      <alignment horizontal="right" vertical="center" wrapText="1"/>
    </xf>
    <xf numFmtId="3" fontId="3" fillId="4" borderId="5" xfId="3" applyNumberFormat="1" applyFont="1" applyFill="1" applyBorder="1" applyAlignment="1" applyProtection="1">
      <alignment horizontal="right" vertical="center" wrapText="1"/>
    </xf>
    <xf numFmtId="171" fontId="3" fillId="4" borderId="5" xfId="3" applyNumberFormat="1" applyFont="1" applyFill="1" applyBorder="1" applyAlignment="1" applyProtection="1">
      <alignment horizontal="right" vertical="center" wrapText="1"/>
    </xf>
    <xf numFmtId="172" fontId="3" fillId="4" borderId="5" xfId="3" applyNumberFormat="1" applyFont="1" applyFill="1" applyBorder="1" applyAlignment="1" applyProtection="1">
      <alignment horizontal="right" vertical="center" wrapText="1"/>
    </xf>
    <xf numFmtId="3" fontId="3" fillId="4" borderId="6" xfId="3" applyNumberFormat="1" applyFont="1" applyFill="1" applyBorder="1" applyAlignment="1" applyProtection="1">
      <alignment horizontal="right" vertical="center" wrapText="1"/>
    </xf>
    <xf numFmtId="167" fontId="3" fillId="4" borderId="34" xfId="3" applyNumberFormat="1" applyFont="1" applyFill="1" applyBorder="1" applyAlignment="1" applyProtection="1">
      <alignment horizontal="right" vertical="center" wrapText="1"/>
    </xf>
    <xf numFmtId="167" fontId="3" fillId="4" borderId="34" xfId="1" applyNumberFormat="1" applyFont="1" applyFill="1" applyBorder="1" applyAlignment="1" applyProtection="1">
      <alignment horizontal="right" vertical="center" wrapText="1"/>
    </xf>
    <xf numFmtId="3" fontId="3" fillId="4" borderId="34" xfId="3" applyNumberFormat="1" applyFont="1" applyFill="1" applyBorder="1" applyAlignment="1" applyProtection="1">
      <alignment horizontal="right" vertical="center" wrapText="1"/>
    </xf>
    <xf numFmtId="171" fontId="3" fillId="4" borderId="34" xfId="3" applyNumberFormat="1" applyFont="1" applyFill="1" applyBorder="1" applyAlignment="1" applyProtection="1">
      <alignment horizontal="right" vertical="center" wrapText="1"/>
    </xf>
    <xf numFmtId="168" fontId="3" fillId="4" borderId="34" xfId="3" applyNumberFormat="1" applyFont="1" applyFill="1" applyBorder="1" applyAlignment="1" applyProtection="1">
      <alignment horizontal="right" vertical="center" wrapText="1"/>
    </xf>
    <xf numFmtId="167" fontId="11" fillId="4" borderId="35" xfId="3" applyNumberFormat="1" applyFont="1" applyFill="1" applyBorder="1" applyAlignment="1" applyProtection="1">
      <alignment horizontal="right" vertical="center" wrapText="1"/>
    </xf>
    <xf numFmtId="170" fontId="11" fillId="4" borderId="22" xfId="1" applyNumberFormat="1" applyFont="1" applyFill="1" applyBorder="1" applyAlignment="1" applyProtection="1">
      <alignment horizontal="right" vertical="center" wrapText="1"/>
    </xf>
    <xf numFmtId="167" fontId="3" fillId="4" borderId="36" xfId="3" applyNumberFormat="1" applyFont="1" applyFill="1" applyBorder="1" applyAlignment="1" applyProtection="1">
      <alignment horizontal="right" vertical="center" wrapText="1"/>
    </xf>
    <xf numFmtId="3" fontId="3" fillId="4" borderId="4" xfId="1" applyNumberFormat="1" applyFont="1" applyFill="1" applyBorder="1" applyAlignment="1" applyProtection="1">
      <alignment horizontal="right" vertical="center" wrapText="1"/>
    </xf>
    <xf numFmtId="168" fontId="3" fillId="4" borderId="36" xfId="3" applyNumberFormat="1" applyFont="1" applyFill="1" applyBorder="1" applyAlignment="1" applyProtection="1">
      <alignment horizontal="right" vertical="center" wrapText="1"/>
    </xf>
    <xf numFmtId="171" fontId="3" fillId="4" borderId="4" xfId="1" applyNumberFormat="1" applyFont="1" applyFill="1" applyBorder="1" applyAlignment="1" applyProtection="1">
      <alignment horizontal="right" vertical="center" wrapText="1"/>
    </xf>
    <xf numFmtId="172" fontId="3" fillId="4" borderId="4" xfId="1" applyNumberFormat="1" applyFont="1" applyFill="1" applyBorder="1" applyAlignment="1" applyProtection="1">
      <alignment horizontal="right" vertical="center" wrapText="1"/>
    </xf>
    <xf numFmtId="3" fontId="19" fillId="4" borderId="4" xfId="1" applyNumberFormat="1" applyFont="1" applyFill="1" applyBorder="1" applyAlignment="1" applyProtection="1">
      <alignment horizontal="right" vertical="center" wrapText="1"/>
    </xf>
    <xf numFmtId="167" fontId="3" fillId="4" borderId="37" xfId="3" applyNumberFormat="1" applyFont="1" applyFill="1" applyBorder="1" applyAlignment="1" applyProtection="1">
      <alignment horizontal="right" vertical="center" wrapText="1"/>
    </xf>
    <xf numFmtId="3" fontId="3" fillId="4" borderId="7" xfId="1" applyNumberFormat="1" applyFont="1" applyFill="1" applyBorder="1" applyAlignment="1" applyProtection="1">
      <alignment horizontal="right" vertical="center" wrapText="1"/>
    </xf>
    <xf numFmtId="170" fontId="11" fillId="4" borderId="22" xfId="3" applyNumberFormat="1" applyFont="1" applyFill="1" applyBorder="1" applyAlignment="1" applyProtection="1">
      <alignment horizontal="right" vertical="center" wrapText="1"/>
    </xf>
    <xf numFmtId="3" fontId="3" fillId="4" borderId="4" xfId="3" applyNumberFormat="1" applyFont="1" applyFill="1" applyBorder="1" applyAlignment="1" applyProtection="1">
      <alignment horizontal="right" vertical="center" wrapText="1"/>
    </xf>
    <xf numFmtId="171" fontId="3" fillId="4" borderId="4" xfId="3" applyNumberFormat="1" applyFont="1" applyFill="1" applyBorder="1" applyAlignment="1" applyProtection="1">
      <alignment horizontal="right" vertical="center" wrapText="1"/>
    </xf>
    <xf numFmtId="172" fontId="3" fillId="4" borderId="4" xfId="3" applyNumberFormat="1" applyFont="1" applyFill="1" applyBorder="1" applyAlignment="1" applyProtection="1">
      <alignment horizontal="right" vertical="center" wrapText="1"/>
    </xf>
    <xf numFmtId="3" fontId="19" fillId="4" borderId="4" xfId="3" applyNumberFormat="1" applyFont="1" applyFill="1" applyBorder="1" applyAlignment="1" applyProtection="1">
      <alignment horizontal="right" vertical="center" wrapText="1"/>
    </xf>
    <xf numFmtId="167" fontId="19" fillId="4" borderId="36" xfId="3" applyNumberFormat="1" applyFont="1" applyFill="1" applyBorder="1" applyAlignment="1" applyProtection="1">
      <alignment horizontal="right" vertical="center" wrapText="1"/>
    </xf>
    <xf numFmtId="3" fontId="3" fillId="4" borderId="7" xfId="3" applyNumberFormat="1" applyFont="1" applyFill="1" applyBorder="1" applyAlignment="1" applyProtection="1">
      <alignment horizontal="right" vertical="center" wrapText="1"/>
    </xf>
    <xf numFmtId="171" fontId="3" fillId="4" borderId="7" xfId="3" applyNumberFormat="1" applyFont="1" applyFill="1" applyBorder="1" applyAlignment="1" applyProtection="1">
      <alignment horizontal="right" vertical="center" wrapText="1"/>
    </xf>
    <xf numFmtId="168" fontId="3" fillId="4" borderId="37" xfId="3" applyNumberFormat="1" applyFont="1" applyFill="1" applyBorder="1" applyAlignment="1" applyProtection="1">
      <alignment horizontal="right" vertical="center" wrapText="1"/>
    </xf>
    <xf numFmtId="167" fontId="11" fillId="4" borderId="38" xfId="3" applyNumberFormat="1" applyFont="1" applyFill="1" applyBorder="1" applyAlignment="1" applyProtection="1">
      <alignment horizontal="right" vertical="center" wrapText="1"/>
    </xf>
    <xf numFmtId="167" fontId="3" fillId="4" borderId="39" xfId="3" applyNumberFormat="1" applyFont="1" applyFill="1" applyBorder="1" applyAlignment="1" applyProtection="1">
      <alignment horizontal="right" vertical="center" wrapText="1"/>
    </xf>
    <xf numFmtId="168" fontId="3" fillId="4" borderId="39" xfId="3" applyNumberFormat="1" applyFont="1" applyFill="1" applyBorder="1" applyAlignment="1" applyProtection="1">
      <alignment horizontal="right" vertical="center" wrapText="1"/>
    </xf>
    <xf numFmtId="167" fontId="19" fillId="4" borderId="39" xfId="3" applyNumberFormat="1" applyFont="1" applyFill="1" applyBorder="1" applyAlignment="1" applyProtection="1">
      <alignment horizontal="right" vertical="center" wrapText="1"/>
    </xf>
    <xf numFmtId="168" fontId="3" fillId="4" borderId="40" xfId="3" applyNumberFormat="1" applyFont="1" applyFill="1" applyBorder="1" applyAlignment="1" applyProtection="1">
      <alignment horizontal="right" vertical="center" wrapText="1"/>
    </xf>
    <xf numFmtId="3" fontId="3" fillId="4" borderId="23" xfId="3" applyNumberFormat="1" applyFont="1" applyFill="1" applyBorder="1" applyAlignment="1" applyProtection="1">
      <alignment horizontal="right" vertical="center" wrapText="1"/>
    </xf>
    <xf numFmtId="167" fontId="3" fillId="4" borderId="35" xfId="3" applyNumberFormat="1" applyFont="1" applyFill="1" applyBorder="1" applyAlignment="1" applyProtection="1">
      <alignment horizontal="right" vertical="center" wrapText="1"/>
    </xf>
    <xf numFmtId="3" fontId="3" fillId="4" borderId="22" xfId="1" applyNumberFormat="1" applyFont="1" applyFill="1" applyBorder="1" applyAlignment="1" applyProtection="1">
      <alignment horizontal="right" vertical="center" wrapText="1"/>
    </xf>
    <xf numFmtId="167" fontId="3" fillId="4" borderId="33" xfId="1" applyNumberFormat="1" applyFont="1" applyFill="1" applyBorder="1" applyAlignment="1" applyProtection="1">
      <alignment horizontal="right" vertical="center" wrapText="1"/>
    </xf>
    <xf numFmtId="3" fontId="3" fillId="4" borderId="22" xfId="3" applyNumberFormat="1" applyFont="1" applyFill="1" applyBorder="1" applyAlignment="1" applyProtection="1">
      <alignment horizontal="right" vertical="center" wrapText="1"/>
    </xf>
    <xf numFmtId="3" fontId="3" fillId="4" borderId="33" xfId="3" applyNumberFormat="1" applyFont="1" applyFill="1" applyBorder="1" applyAlignment="1" applyProtection="1">
      <alignment horizontal="right" vertical="center" wrapText="1"/>
    </xf>
    <xf numFmtId="171" fontId="3" fillId="4" borderId="22" xfId="3" applyNumberFormat="1" applyFont="1" applyFill="1" applyBorder="1" applyAlignment="1" applyProtection="1">
      <alignment horizontal="right" vertical="center" wrapText="1"/>
    </xf>
    <xf numFmtId="168" fontId="3" fillId="4" borderId="33" xfId="3" applyNumberFormat="1" applyFont="1" applyFill="1" applyBorder="1" applyAlignment="1" applyProtection="1">
      <alignment horizontal="right" vertical="center" wrapText="1"/>
    </xf>
    <xf numFmtId="167" fontId="3" fillId="4" borderId="33" xfId="3" applyNumberFormat="1" applyFont="1" applyFill="1" applyBorder="1" applyAlignment="1" applyProtection="1">
      <alignment horizontal="right" vertical="center" wrapText="1"/>
    </xf>
    <xf numFmtId="167" fontId="3" fillId="4" borderId="38" xfId="3" applyNumberFormat="1" applyFont="1" applyFill="1" applyBorder="1" applyAlignment="1" applyProtection="1">
      <alignment horizontal="right" vertical="center" wrapText="1"/>
    </xf>
    <xf numFmtId="3" fontId="3" fillId="4" borderId="25" xfId="3" applyNumberFormat="1" applyFont="1" applyFill="1" applyBorder="1" applyAlignment="1" applyProtection="1">
      <alignment horizontal="right" vertical="center" wrapText="1"/>
    </xf>
    <xf numFmtId="167" fontId="3" fillId="4" borderId="42" xfId="3" applyNumberFormat="1" applyFont="1" applyFill="1" applyBorder="1" applyAlignment="1" applyProtection="1">
      <alignment horizontal="right" vertical="center" wrapText="1"/>
    </xf>
    <xf numFmtId="3" fontId="3" fillId="4" borderId="41" xfId="1" applyNumberFormat="1" applyFont="1" applyFill="1" applyBorder="1" applyAlignment="1" applyProtection="1">
      <alignment horizontal="right" vertical="center" wrapText="1"/>
    </xf>
    <xf numFmtId="3" fontId="3" fillId="4" borderId="41" xfId="3" applyNumberFormat="1" applyFont="1" applyFill="1" applyBorder="1" applyAlignment="1" applyProtection="1">
      <alignment horizontal="right" vertical="center" wrapText="1"/>
    </xf>
    <xf numFmtId="171" fontId="3" fillId="4" borderId="41" xfId="3" applyNumberFormat="1" applyFont="1" applyFill="1" applyBorder="1" applyAlignment="1" applyProtection="1">
      <alignment horizontal="right" vertical="center" wrapText="1"/>
    </xf>
    <xf numFmtId="168" fontId="3" fillId="4" borderId="42" xfId="3" applyNumberFormat="1" applyFont="1" applyFill="1" applyBorder="1" applyAlignment="1" applyProtection="1">
      <alignment horizontal="right" vertical="center" wrapText="1"/>
    </xf>
    <xf numFmtId="167" fontId="3" fillId="4" borderId="43" xfId="3" applyNumberFormat="1" applyFont="1" applyFill="1" applyBorder="1" applyAlignment="1" applyProtection="1">
      <alignment horizontal="right" vertical="center" wrapText="1"/>
    </xf>
    <xf numFmtId="172" fontId="3" fillId="4" borderId="41" xfId="3" applyNumberFormat="1" applyFont="1" applyFill="1" applyBorder="1" applyAlignment="1" applyProtection="1">
      <alignment horizontal="right" vertical="center" wrapText="1"/>
    </xf>
    <xf numFmtId="168" fontId="3" fillId="4" borderId="43" xfId="3" applyNumberFormat="1" applyFont="1" applyFill="1" applyBorder="1" applyAlignment="1" applyProtection="1">
      <alignment horizontal="right" vertical="center" wrapText="1"/>
    </xf>
    <xf numFmtId="172" fontId="3" fillId="4" borderId="22" xfId="3" applyNumberFormat="1" applyFont="1" applyFill="1" applyBorder="1" applyAlignment="1" applyProtection="1">
      <alignment horizontal="right" vertical="center" wrapText="1"/>
    </xf>
    <xf numFmtId="168" fontId="3" fillId="4" borderId="35" xfId="3" applyNumberFormat="1" applyFont="1" applyFill="1" applyBorder="1" applyAlignment="1" applyProtection="1">
      <alignment horizontal="right" vertical="center" wrapText="1"/>
    </xf>
    <xf numFmtId="169" fontId="11" fillId="4" borderId="23" xfId="3" applyNumberFormat="1" applyFont="1" applyFill="1" applyBorder="1" applyAlignment="1" applyProtection="1">
      <alignment horizontal="right" vertical="center" wrapText="1"/>
    </xf>
    <xf numFmtId="169" fontId="11" fillId="4" borderId="33" xfId="3" applyNumberFormat="1" applyFont="1" applyFill="1" applyBorder="1" applyAlignment="1" applyProtection="1">
      <alignment horizontal="right" vertical="center" wrapText="1"/>
    </xf>
    <xf numFmtId="168" fontId="11" fillId="4" borderId="33" xfId="3" applyNumberFormat="1" applyFont="1" applyFill="1" applyBorder="1" applyAlignment="1" applyProtection="1">
      <alignment horizontal="right" vertical="center" wrapText="1"/>
    </xf>
    <xf numFmtId="169" fontId="3" fillId="4" borderId="5" xfId="3" applyNumberFormat="1" applyFont="1" applyFill="1" applyBorder="1" applyAlignment="1" applyProtection="1">
      <alignment horizontal="right" vertical="center" wrapText="1"/>
    </xf>
    <xf numFmtId="169" fontId="3" fillId="4" borderId="0" xfId="3" applyNumberFormat="1" applyFont="1" applyFill="1" applyBorder="1" applyAlignment="1" applyProtection="1">
      <alignment horizontal="right" vertical="center" wrapText="1"/>
    </xf>
    <xf numFmtId="1" fontId="3" fillId="4" borderId="0" xfId="3" applyNumberFormat="1" applyFont="1" applyFill="1" applyBorder="1" applyAlignment="1" applyProtection="1">
      <alignment horizontal="right" vertical="center" wrapText="1"/>
    </xf>
    <xf numFmtId="173" fontId="3" fillId="4" borderId="0" xfId="3" applyNumberFormat="1" applyFont="1" applyFill="1" applyBorder="1" applyAlignment="1" applyProtection="1">
      <alignment horizontal="right" vertical="center" wrapText="1"/>
    </xf>
    <xf numFmtId="173" fontId="3" fillId="4" borderId="5" xfId="3" applyNumberFormat="1" applyFont="1" applyFill="1" applyBorder="1" applyAlignment="1" applyProtection="1">
      <alignment horizontal="right" vertical="center" wrapText="1"/>
    </xf>
    <xf numFmtId="169" fontId="3" fillId="4" borderId="25" xfId="3" applyNumberFormat="1" applyFont="1" applyFill="1" applyBorder="1" applyAlignment="1" applyProtection="1">
      <alignment horizontal="right" vertical="center" wrapText="1"/>
    </xf>
    <xf numFmtId="169" fontId="3" fillId="4" borderId="32" xfId="3" applyNumberFormat="1" applyFont="1" applyFill="1" applyBorder="1" applyAlignment="1" applyProtection="1">
      <alignment horizontal="right" vertical="center" wrapText="1"/>
    </xf>
    <xf numFmtId="169" fontId="3" fillId="4" borderId="6" xfId="3" applyNumberFormat="1" applyFont="1" applyFill="1" applyBorder="1" applyAlignment="1" applyProtection="1">
      <alignment horizontal="right" vertical="center" wrapText="1"/>
    </xf>
    <xf numFmtId="173" fontId="3" fillId="4" borderId="34" xfId="3" applyNumberFormat="1" applyFont="1" applyFill="1" applyBorder="1" applyAlignment="1" applyProtection="1">
      <alignment horizontal="right" vertical="center" wrapText="1"/>
    </xf>
    <xf numFmtId="169" fontId="11" fillId="4" borderId="22" xfId="3" applyNumberFormat="1" applyFont="1" applyFill="1" applyBorder="1" applyAlignment="1" applyProtection="1">
      <alignment horizontal="right" vertical="center" wrapText="1"/>
    </xf>
    <xf numFmtId="169" fontId="3" fillId="4" borderId="4" xfId="3" applyNumberFormat="1" applyFont="1" applyFill="1" applyBorder="1" applyAlignment="1" applyProtection="1">
      <alignment horizontal="right" vertical="center" wrapText="1"/>
    </xf>
    <xf numFmtId="173" fontId="3" fillId="4" borderId="4" xfId="3" applyNumberFormat="1" applyFont="1" applyFill="1" applyBorder="1" applyAlignment="1" applyProtection="1">
      <alignment horizontal="right" vertical="center" wrapText="1"/>
    </xf>
    <xf numFmtId="1" fontId="3" fillId="4" borderId="4" xfId="3" applyNumberFormat="1" applyFont="1" applyFill="1" applyBorder="1" applyAlignment="1" applyProtection="1">
      <alignment horizontal="right" vertical="center" wrapText="1"/>
    </xf>
    <xf numFmtId="169" fontId="3" fillId="4" borderId="7" xfId="3" applyNumberFormat="1" applyFont="1" applyFill="1" applyBorder="1" applyAlignment="1" applyProtection="1">
      <alignment horizontal="right" vertical="center" wrapText="1"/>
    </xf>
    <xf numFmtId="173" fontId="11" fillId="4" borderId="22" xfId="3" applyNumberFormat="1" applyFont="1" applyFill="1" applyBorder="1" applyAlignment="1" applyProtection="1">
      <alignment horizontal="right" vertical="center" wrapText="1"/>
    </xf>
    <xf numFmtId="1" fontId="3" fillId="4" borderId="7" xfId="3" applyNumberFormat="1" applyFont="1" applyFill="1" applyBorder="1" applyAlignment="1" applyProtection="1">
      <alignment horizontal="right" vertical="center" wrapText="1"/>
    </xf>
    <xf numFmtId="168" fontId="11" fillId="4" borderId="35" xfId="3" applyNumberFormat="1" applyFont="1" applyFill="1" applyBorder="1" applyAlignment="1" applyProtection="1">
      <alignment horizontal="right" vertical="center" wrapText="1"/>
    </xf>
    <xf numFmtId="171" fontId="11" fillId="4" borderId="22" xfId="3" applyNumberFormat="1" applyFont="1" applyFill="1" applyBorder="1" applyAlignment="1" applyProtection="1">
      <alignment horizontal="right" vertical="center" wrapText="1"/>
    </xf>
    <xf numFmtId="173" fontId="3" fillId="4" borderId="7" xfId="3" applyNumberFormat="1" applyFont="1" applyFill="1" applyBorder="1" applyAlignment="1" applyProtection="1">
      <alignment horizontal="right" vertical="center" wrapText="1"/>
    </xf>
    <xf numFmtId="168" fontId="11" fillId="4" borderId="38" xfId="3" applyNumberFormat="1" applyFont="1" applyFill="1" applyBorder="1" applyAlignment="1" applyProtection="1">
      <alignment horizontal="right" vertical="center" wrapText="1"/>
    </xf>
    <xf numFmtId="167" fontId="3" fillId="4" borderId="40" xfId="3" applyNumberFormat="1" applyFont="1" applyFill="1" applyBorder="1" applyAlignment="1" applyProtection="1">
      <alignment horizontal="right" vertical="center" wrapText="1"/>
    </xf>
    <xf numFmtId="169" fontId="3" fillId="4" borderId="23" xfId="3" applyNumberFormat="1" applyFont="1" applyFill="1" applyBorder="1" applyAlignment="1" applyProtection="1">
      <alignment horizontal="right" vertical="center" wrapText="1"/>
    </xf>
    <xf numFmtId="169" fontId="3" fillId="4" borderId="22" xfId="3" applyNumberFormat="1" applyFont="1" applyFill="1" applyBorder="1" applyAlignment="1" applyProtection="1">
      <alignment horizontal="right" vertical="center" wrapText="1"/>
    </xf>
    <xf numFmtId="169" fontId="3" fillId="4" borderId="33" xfId="3" applyNumberFormat="1" applyFont="1" applyFill="1" applyBorder="1" applyAlignment="1" applyProtection="1">
      <alignment horizontal="right" vertical="center" wrapText="1"/>
    </xf>
    <xf numFmtId="1" fontId="3" fillId="4" borderId="22" xfId="3" applyNumberFormat="1" applyFont="1" applyFill="1" applyBorder="1" applyAlignment="1" applyProtection="1">
      <alignment horizontal="right" vertical="center" wrapText="1"/>
    </xf>
    <xf numFmtId="173" fontId="3" fillId="4" borderId="22" xfId="3" applyNumberFormat="1" applyFont="1" applyFill="1" applyBorder="1" applyAlignment="1" applyProtection="1">
      <alignment horizontal="right" vertical="center" wrapText="1"/>
    </xf>
    <xf numFmtId="171" fontId="3" fillId="4" borderId="33" xfId="3" applyNumberFormat="1" applyFont="1" applyFill="1" applyBorder="1" applyAlignment="1" applyProtection="1">
      <alignment horizontal="right" vertical="center" wrapText="1"/>
    </xf>
    <xf numFmtId="169" fontId="3" fillId="4" borderId="41" xfId="3" applyNumberFormat="1" applyFont="1" applyFill="1" applyBorder="1" applyAlignment="1" applyProtection="1">
      <alignment horizontal="right" vertical="center" wrapText="1"/>
    </xf>
    <xf numFmtId="1" fontId="3" fillId="4" borderId="41" xfId="3" applyNumberFormat="1" applyFont="1" applyFill="1" applyBorder="1" applyAlignment="1" applyProtection="1">
      <alignment horizontal="right" vertical="center" wrapText="1"/>
    </xf>
    <xf numFmtId="173" fontId="3" fillId="4" borderId="41" xfId="3" applyNumberFormat="1" applyFont="1" applyFill="1" applyBorder="1" applyAlignment="1" applyProtection="1">
      <alignment horizontal="right" vertical="center" wrapText="1"/>
    </xf>
    <xf numFmtId="173" fontId="3" fillId="4" borderId="33" xfId="3" applyNumberFormat="1" applyFont="1" applyFill="1" applyBorder="1" applyAlignment="1" applyProtection="1">
      <alignment horizontal="right" vertical="center" wrapText="1"/>
    </xf>
    <xf numFmtId="168" fontId="3" fillId="4" borderId="38" xfId="3" applyNumberFormat="1" applyFont="1" applyFill="1" applyBorder="1" applyAlignment="1" applyProtection="1">
      <alignment horizontal="right" vertical="center" wrapText="1"/>
    </xf>
    <xf numFmtId="172" fontId="3" fillId="4" borderId="33" xfId="3" applyNumberFormat="1" applyFont="1" applyFill="1" applyBorder="1" applyAlignment="1" applyProtection="1">
      <alignment horizontal="right" vertical="center" wrapText="1"/>
    </xf>
    <xf numFmtId="172" fontId="3" fillId="4" borderId="32" xfId="3" applyNumberFormat="1" applyFont="1" applyFill="1" applyBorder="1" applyAlignment="1" applyProtection="1">
      <alignment horizontal="right" vertical="center" wrapText="1"/>
    </xf>
  </cellXfs>
  <cellStyles count="11">
    <cellStyle name="Komma" xfId="1" builtinId="3"/>
    <cellStyle name="Komma 2" xfId="2" xr:uid="{00000000-0005-0000-0000-000001000000}"/>
    <cellStyle name="Komma 3" xfId="3" xr:uid="{00000000-0005-0000-0000-000002000000}"/>
    <cellStyle name="Normale 2" xfId="10" xr:uid="{00000000-0005-0000-0000-000003000000}"/>
    <cellStyle name="Standard" xfId="0" builtinId="0"/>
    <cellStyle name="Standard 2" xfId="4" xr:uid="{00000000-0005-0000-0000-000005000000}"/>
    <cellStyle name="Standard 2 2" xfId="7" xr:uid="{00000000-0005-0000-0000-000006000000}"/>
    <cellStyle name="Standard 3" xfId="5" xr:uid="{00000000-0005-0000-0000-000007000000}"/>
    <cellStyle name="Standard 4" xfId="6" xr:uid="{00000000-0005-0000-0000-000008000000}"/>
    <cellStyle name="Standard 4 2" xfId="8" xr:uid="{00000000-0005-0000-0000-000009000000}"/>
    <cellStyle name="Standard 5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168275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0</xdr:row>
      <xdr:rowOff>19050</xdr:rowOff>
    </xdr:from>
    <xdr:to>
      <xdr:col>5</xdr:col>
      <xdr:colOff>638789</xdr:colOff>
      <xdr:row>4</xdr:row>
      <xdr:rowOff>145523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5000625" y="19050"/>
          <a:ext cx="2610464" cy="888473"/>
          <a:chOff x="51054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51054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9" name="Option Button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000-000001080000}"/>
                  </a:ext>
                </a:extLst>
              </xdr:cNvPr>
              <xdr:cNvSpPr/>
            </xdr:nvSpPr>
            <xdr:spPr bwMode="auto">
              <a:xfrm>
                <a:off x="5762625" y="304800"/>
                <a:ext cx="10477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0" name="Option Button 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000-000002080000}"/>
                  </a:ext>
                </a:extLst>
              </xdr:cNvPr>
              <xdr:cNvSpPr/>
            </xdr:nvSpPr>
            <xdr:spPr bwMode="auto">
              <a:xfrm>
                <a:off x="5762625" y="495300"/>
                <a:ext cx="140970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1" name="Option Button 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000-000003080000}"/>
                  </a:ext>
                </a:extLst>
              </xdr:cNvPr>
              <xdr:cNvSpPr/>
            </xdr:nvSpPr>
            <xdr:spPr bwMode="auto">
              <a:xfrm>
                <a:off x="5762625" y="657225"/>
                <a:ext cx="10477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168275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0</xdr:row>
      <xdr:rowOff>19050</xdr:rowOff>
    </xdr:from>
    <xdr:to>
      <xdr:col>5</xdr:col>
      <xdr:colOff>638789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5000625" y="19050"/>
          <a:ext cx="2610464" cy="888473"/>
          <a:chOff x="51054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51054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1" name="Option Button 1" hidden="1">
                <a:extLst>
                  <a:ext uri="{63B3BB69-23CF-44E3-9099-C40C66FF867C}">
                    <a14:compatExt spid="_x0000_s5121"/>
                  </a:ext>
                  <a:ext uri="{FF2B5EF4-FFF2-40B4-BE49-F238E27FC236}">
                    <a16:creationId xmlns:a16="http://schemas.microsoft.com/office/drawing/2014/main" id="{00000000-0008-0000-0100-000001140000}"/>
                  </a:ext>
                </a:extLst>
              </xdr:cNvPr>
              <xdr:cNvSpPr/>
            </xdr:nvSpPr>
            <xdr:spPr bwMode="auto">
              <a:xfrm>
                <a:off x="5762625" y="304800"/>
                <a:ext cx="10477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2" name="Option Button 2" hidden="1">
                <a:extLst>
                  <a:ext uri="{63B3BB69-23CF-44E3-9099-C40C66FF867C}">
                    <a14:compatExt spid="_x0000_s5122"/>
                  </a:ext>
                  <a:ext uri="{FF2B5EF4-FFF2-40B4-BE49-F238E27FC236}">
                    <a16:creationId xmlns:a16="http://schemas.microsoft.com/office/drawing/2014/main" id="{00000000-0008-0000-0100-000002140000}"/>
                  </a:ext>
                </a:extLst>
              </xdr:cNvPr>
              <xdr:cNvSpPr/>
            </xdr:nvSpPr>
            <xdr:spPr bwMode="auto">
              <a:xfrm>
                <a:off x="5762625" y="495300"/>
                <a:ext cx="140970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3" name="Option Button 3" hidden="1">
                <a:extLst>
                  <a:ext uri="{63B3BB69-23CF-44E3-9099-C40C66FF867C}">
                    <a14:compatExt spid="_x0000_s5123"/>
                  </a:ext>
                  <a:ext uri="{FF2B5EF4-FFF2-40B4-BE49-F238E27FC236}">
                    <a16:creationId xmlns:a16="http://schemas.microsoft.com/office/drawing/2014/main" id="{00000000-0008-0000-0100-000003140000}"/>
                  </a:ext>
                </a:extLst>
              </xdr:cNvPr>
              <xdr:cNvSpPr/>
            </xdr:nvSpPr>
            <xdr:spPr bwMode="auto">
              <a:xfrm>
                <a:off x="5762625" y="657225"/>
                <a:ext cx="10477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168275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0</xdr:row>
      <xdr:rowOff>19050</xdr:rowOff>
    </xdr:from>
    <xdr:to>
      <xdr:col>5</xdr:col>
      <xdr:colOff>638789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5000625" y="19050"/>
          <a:ext cx="2610464" cy="888473"/>
          <a:chOff x="51054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51054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5" name="Option Button 1" hidden="1">
                <a:extLst>
                  <a:ext uri="{63B3BB69-23CF-44E3-9099-C40C66FF867C}">
                    <a14:compatExt spid="_x0000_s6145"/>
                  </a:ext>
                  <a:ext uri="{FF2B5EF4-FFF2-40B4-BE49-F238E27FC236}">
                    <a16:creationId xmlns:a16="http://schemas.microsoft.com/office/drawing/2014/main" id="{00000000-0008-0000-0200-000001180000}"/>
                  </a:ext>
                </a:extLst>
              </xdr:cNvPr>
              <xdr:cNvSpPr/>
            </xdr:nvSpPr>
            <xdr:spPr bwMode="auto">
              <a:xfrm>
                <a:off x="5762625" y="304800"/>
                <a:ext cx="10477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6" name="Option Button 2" hidden="1">
                <a:extLst>
                  <a:ext uri="{63B3BB69-23CF-44E3-9099-C40C66FF867C}">
                    <a14:compatExt spid="_x0000_s6146"/>
                  </a:ext>
                  <a:ext uri="{FF2B5EF4-FFF2-40B4-BE49-F238E27FC236}">
                    <a16:creationId xmlns:a16="http://schemas.microsoft.com/office/drawing/2014/main" id="{00000000-0008-0000-0200-000002180000}"/>
                  </a:ext>
                </a:extLst>
              </xdr:cNvPr>
              <xdr:cNvSpPr/>
            </xdr:nvSpPr>
            <xdr:spPr bwMode="auto">
              <a:xfrm>
                <a:off x="5762625" y="495300"/>
                <a:ext cx="140970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7" name="Option Button 3" hidden="1">
                <a:extLst>
                  <a:ext uri="{63B3BB69-23CF-44E3-9099-C40C66FF867C}">
                    <a14:compatExt spid="_x0000_s6147"/>
                  </a:ext>
                  <a:ext uri="{FF2B5EF4-FFF2-40B4-BE49-F238E27FC236}">
                    <a16:creationId xmlns:a16="http://schemas.microsoft.com/office/drawing/2014/main" id="{00000000-0008-0000-0200-000003180000}"/>
                  </a:ext>
                </a:extLst>
              </xdr:cNvPr>
              <xdr:cNvSpPr/>
            </xdr:nvSpPr>
            <xdr:spPr bwMode="auto">
              <a:xfrm>
                <a:off x="5762625" y="657225"/>
                <a:ext cx="10477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2"/>
  <sheetViews>
    <sheetView showGridLines="0" tabSelected="1" zoomScaleNormal="100" workbookViewId="0"/>
  </sheetViews>
  <sheetFormatPr baseColWidth="10" defaultRowHeight="12.75" x14ac:dyDescent="0.2"/>
  <cols>
    <col min="1" max="1" width="29.75" style="6" customWidth="1"/>
    <col min="2" max="2" width="33.25" style="6" customWidth="1"/>
    <col min="3" max="22" width="9.5" style="6" customWidth="1"/>
    <col min="23" max="16384" width="11" style="6"/>
  </cols>
  <sheetData>
    <row r="1" spans="1:23" s="1" customFormat="1" x14ac:dyDescent="0.2"/>
    <row r="2" spans="1:23" s="1" customFormat="1" ht="15.75" x14ac:dyDescent="0.25">
      <c r="B2" s="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23" s="1" customFormat="1" ht="15.75" x14ac:dyDescent="0.25">
      <c r="B3" s="2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23" s="1" customFormat="1" ht="15.75" x14ac:dyDescent="0.25">
      <c r="B4" s="2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23" s="1" customFormat="1" x14ac:dyDescent="0.2"/>
    <row r="6" spans="1:23" s="1" customFormat="1" x14ac:dyDescent="0.2"/>
    <row r="7" spans="1:23" s="1" customFormat="1" ht="15.75" customHeight="1" x14ac:dyDescent="0.2">
      <c r="A7" s="55" t="str">
        <f>VLOOKUP("&lt;Fachbereich&gt;",Uebersetzungen!$B$3:$E$63,Uebersetzungen!$B$2+1,FALSE)</f>
        <v>Daten &amp; Statistik</v>
      </c>
      <c r="B7" s="55"/>
      <c r="C7" s="55"/>
      <c r="D7" s="55"/>
      <c r="E7" s="36"/>
      <c r="F7" s="36"/>
      <c r="G7" s="38"/>
      <c r="H7" s="38"/>
      <c r="I7" s="38"/>
      <c r="J7" s="38"/>
      <c r="K7" s="38"/>
      <c r="L7" s="38"/>
      <c r="M7" s="40"/>
      <c r="N7" s="40"/>
      <c r="O7" s="40"/>
      <c r="P7" s="40"/>
      <c r="Q7" s="40"/>
      <c r="R7" s="40"/>
      <c r="S7" s="12"/>
      <c r="T7" s="12"/>
      <c r="U7" s="12"/>
      <c r="V7" s="12"/>
      <c r="W7" s="12"/>
    </row>
    <row r="8" spans="1:23" s="1" customFormat="1" x14ac:dyDescent="0.2"/>
    <row r="9" spans="1:23" ht="18" x14ac:dyDescent="0.2">
      <c r="A9" s="3" t="str">
        <f>VLOOKUP("&lt;Titel&gt;",Uebersetzungen!$B$3:$E$86,Uebersetzungen!$B$2+1,FALSE)</f>
        <v>Bei der Arbeit gesprochene Sprachen, Kanton Graubünden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 x14ac:dyDescent="0.2">
      <c r="A10" s="7" t="str">
        <f>VLOOKUP("&lt;UTitel&gt;",Uebersetzungen!$B$3:$E$86,Uebersetzungen!$B$2+1,FALSE)</f>
        <v>Ständige Wohnbevölkerung ab 15 Jahren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3" ht="13.5" thickBot="1" x14ac:dyDescent="0.25">
      <c r="A11" s="7"/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3" ht="18" x14ac:dyDescent="0.25">
      <c r="A12" s="8"/>
      <c r="B12" s="8"/>
      <c r="C12" s="61">
        <v>2024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3"/>
    </row>
    <row r="13" spans="1:23" ht="37.5" customHeight="1" x14ac:dyDescent="0.2">
      <c r="B13" s="56"/>
      <c r="C13" s="58" t="str">
        <f>VLOOKUP("&lt;SpaltenTitel_1&gt;",Uebersetzungen!$B$3:$E$63,Uebersetzungen!$B$2+1,FALSE)</f>
        <v>Total Bevölkerung</v>
      </c>
      <c r="D13" s="59"/>
      <c r="E13" s="59" t="str">
        <f>VLOOKUP("&lt;SpaltenTitel_2&gt;",Uebersetzungen!$B$3:$E$63,Uebersetzungen!$B$2+1,FALSE)</f>
        <v>Total Erwerbstätige</v>
      </c>
      <c r="F13" s="59"/>
      <c r="G13" s="59" t="str">
        <f>VLOOKUP("&lt;SpaltenTitel_3&gt;",Uebersetzungen!$B$3:$E$63,Uebersetzungen!$B$2+1,FALSE)</f>
        <v>Schweizerdeutsch</v>
      </c>
      <c r="H13" s="59"/>
      <c r="I13" s="59" t="str">
        <f>VLOOKUP("&lt;SpaltenTitel_4&gt;",Uebersetzungen!$B$3:$E$63,Uebersetzungen!$B$2+1,FALSE)</f>
        <v>Deutsch</v>
      </c>
      <c r="J13" s="59"/>
      <c r="K13" s="59" t="str">
        <f>VLOOKUP("&lt;SpaltenTitel_5&gt;",Uebersetzungen!$B$3:$E$63,Uebersetzungen!$B$2+1,FALSE)</f>
        <v>Französisch</v>
      </c>
      <c r="L13" s="59"/>
      <c r="M13" s="64" t="str">
        <f>VLOOKUP("&lt;SpaltenTitel_6&gt;",Uebersetzungen!$B$3:$E$63,Uebersetzungen!$B$2+1,FALSE)</f>
        <v>Tessiner/Bündner-italienischer Dialekt</v>
      </c>
      <c r="N13" s="65"/>
      <c r="O13" s="64" t="str">
        <f>VLOOKUP("&lt;SpaltenTitel_7&gt;",Uebersetzungen!$B$3:$E$63,Uebersetzungen!$B$2+1,FALSE)</f>
        <v>Italienisch</v>
      </c>
      <c r="P13" s="65"/>
      <c r="Q13" s="64" t="str">
        <f>VLOOKUP("&lt;SpaltenTitel_8&gt;",Uebersetzungen!$B$3:$E$63,Uebersetzungen!$B$2+1,FALSE)</f>
        <v>Rätoromanisch</v>
      </c>
      <c r="R13" s="65"/>
      <c r="S13" s="59" t="str">
        <f>VLOOKUP("&lt;SpaltenTitel_9&gt;",Uebersetzungen!$B$3:$E$63,Uebersetzungen!$B$2+1,FALSE)</f>
        <v>Englisch</v>
      </c>
      <c r="T13" s="59"/>
      <c r="U13" s="59" t="str">
        <f>VLOOKUP("&lt;SpaltenTitel_10&gt;",Uebersetzungen!$B$3:$E$63,Uebersetzungen!$B$2+1,FALSE)</f>
        <v>Andere Sprache/n</v>
      </c>
      <c r="V13" s="60"/>
    </row>
    <row r="14" spans="1:23" ht="39" thickBot="1" x14ac:dyDescent="0.25">
      <c r="B14" s="57"/>
      <c r="C14" s="47" t="str">
        <f>VLOOKUP("&lt;SpaltenTitel_1.1&gt;",Uebersetzungen!$B$3:$E$63,Uebersetzungen!$B$2+1,FALSE)</f>
        <v>Anzahl Personen</v>
      </c>
      <c r="D14" s="48" t="str">
        <f>VLOOKUP("&lt;SpaltenTitel_1.2&gt;",Uebersetzungen!$B$3:$E$63,Uebersetzungen!$B$2+1,FALSE)</f>
        <v>Vertrauens- intervall: 
± (in %)</v>
      </c>
      <c r="E14" s="49" t="str">
        <f>VLOOKUP("&lt;SpaltenTitel_1.1&gt;",Uebersetzungen!$B$3:$E$63,Uebersetzungen!$B$2+1,FALSE)</f>
        <v>Anzahl Personen</v>
      </c>
      <c r="F14" s="48" t="str">
        <f>VLOOKUP("&lt;SpaltenTitel_1.2&gt;",Uebersetzungen!$B$3:$E$63,Uebersetzungen!$B$2+1,FALSE)</f>
        <v>Vertrauens- intervall: 
± (in %)</v>
      </c>
      <c r="G14" s="49" t="str">
        <f>VLOOKUP("&lt;SpaltenTitel_1.1&gt;",Uebersetzungen!$B$3:$E$63,Uebersetzungen!$B$2+1,FALSE)</f>
        <v>Anzahl Personen</v>
      </c>
      <c r="H14" s="48" t="str">
        <f>VLOOKUP("&lt;SpaltenTitel_1.2&gt;",Uebersetzungen!$B$3:$E$63,Uebersetzungen!$B$2+1,FALSE)</f>
        <v>Vertrauens- intervall: 
± (in %)</v>
      </c>
      <c r="I14" s="49" t="str">
        <f>VLOOKUP("&lt;SpaltenTitel_1.1&gt;",Uebersetzungen!$B$3:$E$63,Uebersetzungen!$B$2+1,FALSE)</f>
        <v>Anzahl Personen</v>
      </c>
      <c r="J14" s="48" t="str">
        <f>VLOOKUP("&lt;SpaltenTitel_1.2&gt;",Uebersetzungen!$B$3:$E$63,Uebersetzungen!$B$2+1,FALSE)</f>
        <v>Vertrauens- intervall: 
± (in %)</v>
      </c>
      <c r="K14" s="49" t="str">
        <f>VLOOKUP("&lt;SpaltenTitel_1.1&gt;",Uebersetzungen!$B$3:$E$63,Uebersetzungen!$B$2+1,FALSE)</f>
        <v>Anzahl Personen</v>
      </c>
      <c r="L14" s="48" t="str">
        <f>VLOOKUP("&lt;SpaltenTitel_1.2&gt;",Uebersetzungen!$B$3:$E$63,Uebersetzungen!$B$2+1,FALSE)</f>
        <v>Vertrauens- intervall: 
± (in %)</v>
      </c>
      <c r="M14" s="49" t="str">
        <f>VLOOKUP("&lt;SpaltenTitel_1.1&gt;",Uebersetzungen!$B$3:$E$63,Uebersetzungen!$B$2+1,FALSE)</f>
        <v>Anzahl Personen</v>
      </c>
      <c r="N14" s="48" t="str">
        <f>VLOOKUP("&lt;SpaltenTitel_1.2&gt;",Uebersetzungen!$B$3:$E$63,Uebersetzungen!$B$2+1,FALSE)</f>
        <v>Vertrauens- intervall: 
± (in %)</v>
      </c>
      <c r="O14" s="49" t="str">
        <f>VLOOKUP("&lt;SpaltenTitel_1.1&gt;",Uebersetzungen!$B$3:$E$63,Uebersetzungen!$B$2+1,FALSE)</f>
        <v>Anzahl Personen</v>
      </c>
      <c r="P14" s="48" t="str">
        <f>VLOOKUP("&lt;SpaltenTitel_1.2&gt;",Uebersetzungen!$B$3:$E$63,Uebersetzungen!$B$2+1,FALSE)</f>
        <v>Vertrauens- intervall: 
± (in %)</v>
      </c>
      <c r="Q14" s="49" t="str">
        <f>VLOOKUP("&lt;SpaltenTitel_1.1&gt;",Uebersetzungen!$B$3:$E$63,Uebersetzungen!$B$2+1,FALSE)</f>
        <v>Anzahl Personen</v>
      </c>
      <c r="R14" s="48" t="str">
        <f>VLOOKUP("&lt;SpaltenTitel_1.2&gt;",Uebersetzungen!$B$3:$E$63,Uebersetzungen!$B$2+1,FALSE)</f>
        <v>Vertrauens- intervall: 
± (in %)</v>
      </c>
      <c r="S14" s="50" t="str">
        <f>VLOOKUP("&lt;SpaltenTitel_1.1&gt;",Uebersetzungen!$B$3:$E$63,Uebersetzungen!$B$2+1,FALSE)</f>
        <v>Anzahl Personen</v>
      </c>
      <c r="T14" s="48" t="str">
        <f>VLOOKUP("&lt;SpaltenTitel_1.2&gt;",Uebersetzungen!$B$3:$E$63,Uebersetzungen!$B$2+1,FALSE)</f>
        <v>Vertrauens- intervall: 
± (in %)</v>
      </c>
      <c r="U14" s="51" t="str">
        <f>VLOOKUP("&lt;SpaltenTitel_1.1&gt;",Uebersetzungen!$B$3:$E$63,Uebersetzungen!$B$2+1,FALSE)</f>
        <v>Anzahl Personen</v>
      </c>
      <c r="V14" s="52" t="str">
        <f>VLOOKUP("&lt;SpaltenTitel_1.2&gt;",Uebersetzungen!$B$3:$E$63,Uebersetzungen!$B$2+1,FALSE)</f>
        <v>Vertrauens- intervall: 
± (in %)</v>
      </c>
    </row>
    <row r="15" spans="1:23" ht="14.25" customHeight="1" x14ac:dyDescent="0.2">
      <c r="A15" s="29" t="str">
        <f>VLOOKUP("&lt;Zeilentitel_1&gt;",Uebersetzungen!$B$3:$E$83,Uebersetzungen!$B$2+1,FALSE)</f>
        <v>Total</v>
      </c>
      <c r="B15" s="42"/>
      <c r="C15" s="80">
        <v>175976.99999999584</v>
      </c>
      <c r="D15" s="93">
        <v>0.3967578846481099</v>
      </c>
      <c r="E15" s="94">
        <v>110190.32702338899</v>
      </c>
      <c r="F15" s="82">
        <v>2.2402588065625419</v>
      </c>
      <c r="G15" s="103">
        <v>85376.427234692557</v>
      </c>
      <c r="H15" s="93">
        <v>2.8744753131315628</v>
      </c>
      <c r="I15" s="83">
        <v>41453.500673229843</v>
      </c>
      <c r="J15" s="93">
        <v>5.1546425172935715</v>
      </c>
      <c r="K15" s="103">
        <v>3003.6594388448375</v>
      </c>
      <c r="L15" s="81">
        <v>20.763563470089125</v>
      </c>
      <c r="M15" s="103">
        <v>3317.5230628536751</v>
      </c>
      <c r="N15" s="93">
        <v>19.90290577302564</v>
      </c>
      <c r="O15" s="83">
        <v>23441.917734827519</v>
      </c>
      <c r="P15" s="93">
        <v>7.321437808421388</v>
      </c>
      <c r="Q15" s="103">
        <v>12506.539311136577</v>
      </c>
      <c r="R15" s="81">
        <v>9.9414974624141355</v>
      </c>
      <c r="S15" s="103">
        <v>18196.447163672445</v>
      </c>
      <c r="T15" s="93">
        <v>8.3504798235175208</v>
      </c>
      <c r="U15" s="103">
        <v>7003.2942636570697</v>
      </c>
      <c r="V15" s="112">
        <v>14.704925058470844</v>
      </c>
    </row>
    <row r="16" spans="1:23" x14ac:dyDescent="0.2">
      <c r="A16" s="30" t="str">
        <f>VLOOKUP("&lt;Zeilentitel_2&gt;",Uebersetzungen!$B$3:$E$83,Uebersetzungen!$B$2+1,FALSE)</f>
        <v>Geschlecht</v>
      </c>
      <c r="B16" s="43" t="str">
        <f>VLOOKUP("&lt;Zeilentitel_2.1&gt;",Uebersetzungen!$B$3:$E$83,Uebersetzungen!$B$2+1,FALSE)</f>
        <v>Männer</v>
      </c>
      <c r="C16" s="117">
        <v>88469.999999997206</v>
      </c>
      <c r="D16" s="118">
        <v>2.8767215425128136</v>
      </c>
      <c r="E16" s="119">
        <v>58597.941680924807</v>
      </c>
      <c r="F16" s="120">
        <v>4.1288726366882589</v>
      </c>
      <c r="G16" s="121">
        <v>44211.297586636218</v>
      </c>
      <c r="H16" s="118">
        <v>4.8824451068134289</v>
      </c>
      <c r="I16" s="122">
        <v>21307.525879382676</v>
      </c>
      <c r="J16" s="118">
        <v>7.9019806965062598</v>
      </c>
      <c r="K16" s="123">
        <v>1520.4200995665908</v>
      </c>
      <c r="L16" s="124">
        <v>29.549162511395313</v>
      </c>
      <c r="M16" s="121">
        <v>1900.9148237034881</v>
      </c>
      <c r="N16" s="118">
        <v>26.71534702914672</v>
      </c>
      <c r="O16" s="122">
        <v>14096.054242962262</v>
      </c>
      <c r="P16" s="118">
        <v>9.9198180974710759</v>
      </c>
      <c r="Q16" s="121">
        <v>6756.4981165175768</v>
      </c>
      <c r="R16" s="125">
        <v>13.854925245438244</v>
      </c>
      <c r="S16" s="121">
        <v>10440.8597491648</v>
      </c>
      <c r="T16" s="118">
        <v>11.536838282600771</v>
      </c>
      <c r="U16" s="121">
        <v>3780.2705829672313</v>
      </c>
      <c r="V16" s="126">
        <v>20.994996744875703</v>
      </c>
    </row>
    <row r="17" spans="1:22" x14ac:dyDescent="0.2">
      <c r="A17" s="31"/>
      <c r="B17" s="44" t="str">
        <f>VLOOKUP("&lt;Zeilentitel_2.2&gt;",Uebersetzungen!$B$3:$E$83,Uebersetzungen!$B$2+1,FALSE)</f>
        <v>Frauen</v>
      </c>
      <c r="C17" s="127">
        <v>87506.999999998632</v>
      </c>
      <c r="D17" s="128">
        <v>2.7377556760568122</v>
      </c>
      <c r="E17" s="129">
        <v>51592.385342464178</v>
      </c>
      <c r="F17" s="77">
        <v>4.2555607779821347</v>
      </c>
      <c r="G17" s="130">
        <v>41165.129648056347</v>
      </c>
      <c r="H17" s="128">
        <v>4.9311579410447992</v>
      </c>
      <c r="I17" s="75">
        <v>20145.974793847166</v>
      </c>
      <c r="J17" s="128">
        <v>7.6597972071115734</v>
      </c>
      <c r="K17" s="131">
        <v>1483.2393392782469</v>
      </c>
      <c r="L17" s="79">
        <v>29.428818639825241</v>
      </c>
      <c r="M17" s="131">
        <v>1416.608239150187</v>
      </c>
      <c r="N17" s="132">
        <v>30.128176655128144</v>
      </c>
      <c r="O17" s="75">
        <v>9345.8634918652551</v>
      </c>
      <c r="P17" s="128">
        <v>11.672131030944747</v>
      </c>
      <c r="Q17" s="130">
        <v>5750.0411946190015</v>
      </c>
      <c r="R17" s="76">
        <v>14.843250015398251</v>
      </c>
      <c r="S17" s="130">
        <v>7755.587414507645</v>
      </c>
      <c r="T17" s="128">
        <v>12.768279749829398</v>
      </c>
      <c r="U17" s="130">
        <v>3223.0236806898379</v>
      </c>
      <c r="V17" s="133">
        <v>20.792542634926818</v>
      </c>
    </row>
    <row r="18" spans="1:22" x14ac:dyDescent="0.2">
      <c r="A18" s="32" t="str">
        <f>VLOOKUP("&lt;Zeilentitel_3&gt;",Uebersetzungen!$B$3:$E$83,Uebersetzungen!$B$2+1,FALSE)</f>
        <v>Alter</v>
      </c>
      <c r="B18" s="25" t="str">
        <f>VLOOKUP("&lt;Zeilentitel_3.1&gt;",Uebersetzungen!$B$3:$E$83,Uebersetzungen!$B$2+1,FALSE)</f>
        <v>15-24</v>
      </c>
      <c r="C18" s="84">
        <v>18707.999999999502</v>
      </c>
      <c r="D18" s="95">
        <v>8.3015949454829325</v>
      </c>
      <c r="E18" s="96">
        <v>9848.5169580781549</v>
      </c>
      <c r="F18" s="27">
        <v>11.830201756179958</v>
      </c>
      <c r="G18" s="104">
        <v>8309.8957665407961</v>
      </c>
      <c r="H18" s="95">
        <v>12.699432766238477</v>
      </c>
      <c r="I18" s="66">
        <v>3656.0695148525083</v>
      </c>
      <c r="J18" s="95">
        <v>20.407587780478899</v>
      </c>
      <c r="K18" s="104" t="s">
        <v>279</v>
      </c>
      <c r="L18" s="67" t="s">
        <v>279</v>
      </c>
      <c r="M18" s="104" t="s">
        <v>279</v>
      </c>
      <c r="N18" s="95" t="s">
        <v>279</v>
      </c>
      <c r="O18" s="68">
        <v>1644.2384309443635</v>
      </c>
      <c r="P18" s="97">
        <v>30.226386164316384</v>
      </c>
      <c r="Q18" s="106">
        <v>994.82109864316715</v>
      </c>
      <c r="R18" s="69">
        <v>37.32517008852777</v>
      </c>
      <c r="S18" s="104">
        <v>2134.3336430845752</v>
      </c>
      <c r="T18" s="95">
        <v>26.154001982766598</v>
      </c>
      <c r="U18" s="106">
        <v>448.31465416350966</v>
      </c>
      <c r="V18" s="114">
        <v>61.457835629364155</v>
      </c>
    </row>
    <row r="19" spans="1:22" x14ac:dyDescent="0.2">
      <c r="A19" s="33"/>
      <c r="B19" s="45" t="str">
        <f>VLOOKUP("&lt;Zeilentitel_3.2&gt;",Uebersetzungen!$B$3:$E$83,Uebersetzungen!$B$2+1,FALSE)</f>
        <v>25-44</v>
      </c>
      <c r="C19" s="84">
        <v>51762.999999998538</v>
      </c>
      <c r="D19" s="95">
        <v>4.5313758844237304</v>
      </c>
      <c r="E19" s="96">
        <v>46221.52022442688</v>
      </c>
      <c r="F19" s="27">
        <v>4.8751920230804817</v>
      </c>
      <c r="G19" s="104">
        <v>35781.524791167329</v>
      </c>
      <c r="H19" s="95">
        <v>5.624467397367221</v>
      </c>
      <c r="I19" s="66">
        <v>18608.265188818728</v>
      </c>
      <c r="J19" s="95">
        <v>8.4457775847382059</v>
      </c>
      <c r="K19" s="106">
        <v>828.60507741932065</v>
      </c>
      <c r="L19" s="69">
        <v>40.396407226735313</v>
      </c>
      <c r="M19" s="105">
        <v>1161.6507550851215</v>
      </c>
      <c r="N19" s="97">
        <v>34.590004228829862</v>
      </c>
      <c r="O19" s="66">
        <v>9577.1419875493739</v>
      </c>
      <c r="P19" s="95">
        <v>12.32602198343165</v>
      </c>
      <c r="Q19" s="104">
        <v>4554.3808124643592</v>
      </c>
      <c r="R19" s="67">
        <v>17.189764468642579</v>
      </c>
      <c r="S19" s="104">
        <v>8757.6162746264417</v>
      </c>
      <c r="T19" s="95">
        <v>12.678996067632019</v>
      </c>
      <c r="U19" s="104">
        <v>3395.4603269855215</v>
      </c>
      <c r="V19" s="113">
        <v>21.730822247499336</v>
      </c>
    </row>
    <row r="20" spans="1:22" x14ac:dyDescent="0.2">
      <c r="A20" s="34"/>
      <c r="B20" s="45" t="str">
        <f>VLOOKUP("&lt;Zeilentitel_3.3&gt;",Uebersetzungen!$B$3:$E$83,Uebersetzungen!$B$2+1,FALSE)</f>
        <v>45-64</v>
      </c>
      <c r="C20" s="84">
        <v>59050.999999998596</v>
      </c>
      <c r="D20" s="95">
        <v>3.886206988336121</v>
      </c>
      <c r="E20" s="96">
        <v>49557.538240950016</v>
      </c>
      <c r="F20" s="27">
        <v>4.3945601689125731</v>
      </c>
      <c r="G20" s="104">
        <v>37558.042672745221</v>
      </c>
      <c r="H20" s="95">
        <v>5.2132813307688135</v>
      </c>
      <c r="I20" s="66">
        <v>17906.123738938248</v>
      </c>
      <c r="J20" s="95">
        <v>8.2214148262070843</v>
      </c>
      <c r="K20" s="104">
        <v>2009.0721266442808</v>
      </c>
      <c r="L20" s="67">
        <v>25.355787725275004</v>
      </c>
      <c r="M20" s="104">
        <v>1814.6686749116034</v>
      </c>
      <c r="N20" s="95">
        <v>26.748578270200824</v>
      </c>
      <c r="O20" s="66">
        <v>11501.799145274785</v>
      </c>
      <c r="P20" s="95">
        <v>10.511161798339451</v>
      </c>
      <c r="Q20" s="104">
        <v>6379.0251791047158</v>
      </c>
      <c r="R20" s="67">
        <v>13.993724387355684</v>
      </c>
      <c r="S20" s="104">
        <v>6751.9797044341922</v>
      </c>
      <c r="T20" s="95">
        <v>13.668942072067138</v>
      </c>
      <c r="U20" s="104">
        <v>2955.4046178143958</v>
      </c>
      <c r="V20" s="113">
        <v>22.336657180305846</v>
      </c>
    </row>
    <row r="21" spans="1:22" x14ac:dyDescent="0.2">
      <c r="A21" s="34"/>
      <c r="B21" s="45" t="str">
        <f>VLOOKUP("&lt;Zeilentitel_3.4&gt;",Uebersetzungen!$B$3:$E$83,Uebersetzungen!$B$2+1,FALSE)</f>
        <v>65 und älter</v>
      </c>
      <c r="C21" s="84">
        <v>46454.999999998785</v>
      </c>
      <c r="D21" s="95">
        <v>4.40915179190395</v>
      </c>
      <c r="E21" s="96">
        <v>4562.7515999338912</v>
      </c>
      <c r="F21" s="27">
        <v>16.184333622379445</v>
      </c>
      <c r="G21" s="104">
        <v>3726.9640042392416</v>
      </c>
      <c r="H21" s="95">
        <v>17.908431544011357</v>
      </c>
      <c r="I21" s="68">
        <v>1283.0422306203409</v>
      </c>
      <c r="J21" s="97">
        <v>30.897470053739251</v>
      </c>
      <c r="K21" s="104" t="s">
        <v>279</v>
      </c>
      <c r="L21" s="67" t="s">
        <v>279</v>
      </c>
      <c r="M21" s="106">
        <v>198.30098612700692</v>
      </c>
      <c r="N21" s="97">
        <v>78.888344061134106</v>
      </c>
      <c r="O21" s="70">
        <v>718.7381710589915</v>
      </c>
      <c r="P21" s="97">
        <v>41.186190131807528</v>
      </c>
      <c r="Q21" s="106">
        <v>578.31222092433813</v>
      </c>
      <c r="R21" s="69">
        <v>45.486221779895637</v>
      </c>
      <c r="S21" s="106">
        <v>552.51754152724129</v>
      </c>
      <c r="T21" s="97">
        <v>46.858954364746744</v>
      </c>
      <c r="U21" s="106">
        <v>204.11466469364237</v>
      </c>
      <c r="V21" s="114">
        <v>79.045612672462497</v>
      </c>
    </row>
    <row r="22" spans="1:22" x14ac:dyDescent="0.2">
      <c r="A22" s="30" t="str">
        <f>VLOOKUP("&lt;Zeilentitel_4&gt;",Uebersetzungen!$B$3:$E$83,Uebersetzungen!$B$2+1,FALSE)</f>
        <v>Staatsangehörigkeit</v>
      </c>
      <c r="B22" s="43" t="str">
        <f>VLOOKUP("&lt;Zeilentitel_4.1&gt;",Uebersetzungen!$B$3:$E$83,Uebersetzungen!$B$2+1,FALSE)</f>
        <v>Schweiz</v>
      </c>
      <c r="C22" s="117">
        <v>139479.99999999587</v>
      </c>
      <c r="D22" s="118">
        <v>1.3160876423396077</v>
      </c>
      <c r="E22" s="119">
        <v>83599.206476964784</v>
      </c>
      <c r="F22" s="120">
        <v>2.853688253859469</v>
      </c>
      <c r="G22" s="121">
        <v>74216.299909272231</v>
      </c>
      <c r="H22" s="118">
        <v>3.1838496536857521</v>
      </c>
      <c r="I22" s="122">
        <v>26100.973049728334</v>
      </c>
      <c r="J22" s="118">
        <v>6.5207452879765233</v>
      </c>
      <c r="K22" s="121">
        <v>2582.6125008639924</v>
      </c>
      <c r="L22" s="125">
        <v>22.220402666068956</v>
      </c>
      <c r="M22" s="121">
        <v>3092.7220977313923</v>
      </c>
      <c r="N22" s="118">
        <v>20.406009490653172</v>
      </c>
      <c r="O22" s="122">
        <v>14695.156192263874</v>
      </c>
      <c r="P22" s="118">
        <v>9.035583810146985</v>
      </c>
      <c r="Q22" s="121">
        <v>11723.791286709544</v>
      </c>
      <c r="R22" s="125">
        <v>10.225943507084542</v>
      </c>
      <c r="S22" s="121">
        <v>12435.540759253383</v>
      </c>
      <c r="T22" s="118">
        <v>9.9322717474622095</v>
      </c>
      <c r="U22" s="121">
        <v>1903.9158871158029</v>
      </c>
      <c r="V22" s="126">
        <v>26.270073783008609</v>
      </c>
    </row>
    <row r="23" spans="1:22" x14ac:dyDescent="0.2">
      <c r="A23" s="32"/>
      <c r="B23" s="45" t="str">
        <f>VLOOKUP("&lt;Zeilentitel_4.2&gt;",Uebersetzungen!$B$3:$E$83,Uebersetzungen!$B$2+1,FALSE)</f>
        <v>EU und EFTA</v>
      </c>
      <c r="C23" s="84">
        <v>28464.778974147062</v>
      </c>
      <c r="D23" s="95">
        <v>6.8848591999866882</v>
      </c>
      <c r="E23" s="96">
        <v>21955.405747782013</v>
      </c>
      <c r="F23" s="27">
        <v>8.0575973566114207</v>
      </c>
      <c r="G23" s="104">
        <v>9057.7543564177122</v>
      </c>
      <c r="H23" s="95">
        <v>12.827682402520869</v>
      </c>
      <c r="I23" s="66">
        <v>12398.812308295292</v>
      </c>
      <c r="J23" s="95">
        <v>10.897124855095198</v>
      </c>
      <c r="K23" s="106">
        <v>340.60573661921489</v>
      </c>
      <c r="L23" s="69">
        <v>65.145560430598266</v>
      </c>
      <c r="M23" s="106">
        <v>224.80096512228272</v>
      </c>
      <c r="N23" s="97">
        <v>87.553950134912085</v>
      </c>
      <c r="O23" s="66">
        <v>8112.4980742725957</v>
      </c>
      <c r="P23" s="95">
        <v>13.875652342346253</v>
      </c>
      <c r="Q23" s="106">
        <v>732.97009644378147</v>
      </c>
      <c r="R23" s="69">
        <v>45.924699595514561</v>
      </c>
      <c r="S23" s="104">
        <v>4912.7026131705816</v>
      </c>
      <c r="T23" s="95">
        <v>17.832174716516409</v>
      </c>
      <c r="U23" s="104">
        <v>4328.4539971630975</v>
      </c>
      <c r="V23" s="113">
        <v>19.261996112332991</v>
      </c>
    </row>
    <row r="24" spans="1:22" x14ac:dyDescent="0.2">
      <c r="A24" s="32"/>
      <c r="B24" s="45" t="str">
        <f>VLOOKUP("&lt;Zeilentitel_4.3&gt;",Uebersetzungen!$B$3:$E$83,Uebersetzungen!$B$2+1,FALSE)</f>
        <v>Anderer europäischer Staat</v>
      </c>
      <c r="C24" s="84">
        <v>4405.496763860715</v>
      </c>
      <c r="D24" s="95">
        <v>19.787681889494554</v>
      </c>
      <c r="E24" s="96">
        <v>2356.4526433346055</v>
      </c>
      <c r="F24" s="27">
        <v>27.523326352727643</v>
      </c>
      <c r="G24" s="105">
        <v>1290.6115372216773</v>
      </c>
      <c r="H24" s="97">
        <v>37.297417841472203</v>
      </c>
      <c r="I24" s="68">
        <v>1251.7791331715987</v>
      </c>
      <c r="J24" s="97">
        <v>38.19226008983722</v>
      </c>
      <c r="K24" s="104" t="s">
        <v>279</v>
      </c>
      <c r="L24" s="67" t="s">
        <v>279</v>
      </c>
      <c r="M24" s="104" t="s">
        <v>279</v>
      </c>
      <c r="N24" s="95" t="s">
        <v>279</v>
      </c>
      <c r="O24" s="70">
        <v>391.20123100477781</v>
      </c>
      <c r="P24" s="97">
        <v>72.739943979652779</v>
      </c>
      <c r="Q24" s="104" t="s">
        <v>279</v>
      </c>
      <c r="R24" s="67" t="s">
        <v>279</v>
      </c>
      <c r="S24" s="106">
        <v>492.66476095055236</v>
      </c>
      <c r="T24" s="97">
        <v>56.301540516170753</v>
      </c>
      <c r="U24" s="106">
        <v>385.52236924531047</v>
      </c>
      <c r="V24" s="114">
        <v>68.650618195787246</v>
      </c>
    </row>
    <row r="25" spans="1:22" x14ac:dyDescent="0.2">
      <c r="A25" s="32"/>
      <c r="B25" s="45" t="str">
        <f>VLOOKUP("&lt;Zeilentitel_4.4&gt;",Uebersetzungen!$B$3:$E$83,Uebersetzungen!$B$2+1,FALSE)</f>
        <v>Andere Staaten</v>
      </c>
      <c r="C25" s="84">
        <v>3626.7242619924309</v>
      </c>
      <c r="D25" s="95">
        <v>21.364364793245247</v>
      </c>
      <c r="E25" s="96">
        <v>2279.2621553078002</v>
      </c>
      <c r="F25" s="27">
        <v>27.130486215850336</v>
      </c>
      <c r="G25" s="106">
        <v>811.76143178097414</v>
      </c>
      <c r="H25" s="97">
        <v>46.559607297462072</v>
      </c>
      <c r="I25" s="68">
        <v>1701.9361820346048</v>
      </c>
      <c r="J25" s="97">
        <v>31.138209881743563</v>
      </c>
      <c r="K25" s="104" t="s">
        <v>279</v>
      </c>
      <c r="L25" s="67" t="s">
        <v>279</v>
      </c>
      <c r="M25" s="104" t="s">
        <v>279</v>
      </c>
      <c r="N25" s="95" t="s">
        <v>279</v>
      </c>
      <c r="O25" s="70">
        <v>243.0622372862928</v>
      </c>
      <c r="P25" s="97">
        <v>79.340943252772234</v>
      </c>
      <c r="Q25" s="104" t="s">
        <v>279</v>
      </c>
      <c r="R25" s="67" t="s">
        <v>279</v>
      </c>
      <c r="S25" s="106">
        <v>355.5390302979489</v>
      </c>
      <c r="T25" s="97">
        <v>65.37879148145295</v>
      </c>
      <c r="U25" s="106">
        <v>385.40201013286065</v>
      </c>
      <c r="V25" s="114">
        <v>66.252602201916787</v>
      </c>
    </row>
    <row r="26" spans="1:22" x14ac:dyDescent="0.2">
      <c r="A26" s="31"/>
      <c r="B26" s="45" t="str">
        <f>VLOOKUP("&lt;Zeilentitel_4.5&gt;",Uebersetzungen!$B$3:$E$83,Uebersetzungen!$B$2+1,FALSE)</f>
        <v>Staatsangehörigkeit unbekannt</v>
      </c>
      <c r="C26" s="127" t="s">
        <v>279</v>
      </c>
      <c r="D26" s="128" t="s">
        <v>279</v>
      </c>
      <c r="E26" s="129" t="s">
        <v>279</v>
      </c>
      <c r="F26" s="77" t="s">
        <v>279</v>
      </c>
      <c r="G26" s="130" t="s">
        <v>279</v>
      </c>
      <c r="H26" s="128" t="s">
        <v>279</v>
      </c>
      <c r="I26" s="75" t="s">
        <v>279</v>
      </c>
      <c r="J26" s="128" t="s">
        <v>279</v>
      </c>
      <c r="K26" s="130" t="s">
        <v>279</v>
      </c>
      <c r="L26" s="76" t="s">
        <v>279</v>
      </c>
      <c r="M26" s="130" t="s">
        <v>279</v>
      </c>
      <c r="N26" s="128" t="s">
        <v>279</v>
      </c>
      <c r="O26" s="75" t="s">
        <v>279</v>
      </c>
      <c r="P26" s="128" t="s">
        <v>279</v>
      </c>
      <c r="Q26" s="130" t="s">
        <v>279</v>
      </c>
      <c r="R26" s="76" t="s">
        <v>279</v>
      </c>
      <c r="S26" s="130" t="s">
        <v>279</v>
      </c>
      <c r="T26" s="128" t="s">
        <v>279</v>
      </c>
      <c r="U26" s="130" t="s">
        <v>279</v>
      </c>
      <c r="V26" s="133" t="s">
        <v>279</v>
      </c>
    </row>
    <row r="27" spans="1:22" x14ac:dyDescent="0.2">
      <c r="A27" s="30" t="str">
        <f>VLOOKUP("&lt;Zeilentitel_5&gt;",Uebersetzungen!$B$3:$E$83,Uebersetzungen!$B$2+1,FALSE)</f>
        <v>Migrationsstatus</v>
      </c>
      <c r="B27" s="43" t="str">
        <f>VLOOKUP("&lt;Zeilentitel_5.1&gt;",Uebersetzungen!$B$3:$E$83,Uebersetzungen!$B$2+1,FALSE)</f>
        <v>Schweizer/innen ohne Migrationshintergrund</v>
      </c>
      <c r="C27" s="84">
        <v>122172.64107475645</v>
      </c>
      <c r="D27" s="95">
        <v>1.7493769218530069</v>
      </c>
      <c r="E27" s="96">
        <v>73443.81572958114</v>
      </c>
      <c r="F27" s="27">
        <v>3.2167716354785805</v>
      </c>
      <c r="G27" s="104">
        <v>66495.814206130701</v>
      </c>
      <c r="H27" s="95">
        <v>3.4952176106977735</v>
      </c>
      <c r="I27" s="66">
        <v>21536.758932141551</v>
      </c>
      <c r="J27" s="95">
        <v>7.3091396032883846</v>
      </c>
      <c r="K27" s="104">
        <v>2249.0993787730499</v>
      </c>
      <c r="L27" s="67">
        <v>23.896586076212014</v>
      </c>
      <c r="M27" s="104">
        <v>2888.0380172657951</v>
      </c>
      <c r="N27" s="95">
        <v>21.144202667094298</v>
      </c>
      <c r="O27" s="66">
        <v>12445.186817797257</v>
      </c>
      <c r="P27" s="95">
        <v>9.8975526264262008</v>
      </c>
      <c r="Q27" s="104">
        <v>11253.241975865705</v>
      </c>
      <c r="R27" s="67">
        <v>10.462267137398984</v>
      </c>
      <c r="S27" s="104">
        <v>10568.326883320013</v>
      </c>
      <c r="T27" s="95">
        <v>10.873303749150306</v>
      </c>
      <c r="U27" s="105">
        <v>1004.7623257949514</v>
      </c>
      <c r="V27" s="114">
        <v>36.624830729852199</v>
      </c>
    </row>
    <row r="28" spans="1:22" x14ac:dyDescent="0.2">
      <c r="A28" s="32"/>
      <c r="B28" s="45" t="str">
        <f>VLOOKUP("&lt;Zeilentitel_5.2&gt;",Uebersetzungen!$B$3:$E$83,Uebersetzungen!$B$2+1,FALSE)</f>
        <v>Schweizer/innen mit Migrationshintergrund</v>
      </c>
      <c r="C28" s="84">
        <v>16792.664144571507</v>
      </c>
      <c r="D28" s="95">
        <v>8.3186880237247642</v>
      </c>
      <c r="E28" s="96">
        <v>9863.6264302419731</v>
      </c>
      <c r="F28" s="27">
        <v>11.125390468741619</v>
      </c>
      <c r="G28" s="104">
        <v>7469.8544214355888</v>
      </c>
      <c r="H28" s="95">
        <v>12.900295961319342</v>
      </c>
      <c r="I28" s="66">
        <v>4454.8491747229154</v>
      </c>
      <c r="J28" s="95">
        <v>16.700358824361771</v>
      </c>
      <c r="K28" s="106">
        <v>333.51312209094277</v>
      </c>
      <c r="L28" s="69">
        <v>61.154221607637233</v>
      </c>
      <c r="M28" s="106">
        <v>163.55104502989272</v>
      </c>
      <c r="N28" s="97">
        <v>86.426928985605073</v>
      </c>
      <c r="O28" s="66">
        <v>2208.8363390309128</v>
      </c>
      <c r="P28" s="95">
        <v>24.042490002205128</v>
      </c>
      <c r="Q28" s="106">
        <v>470.54931084384026</v>
      </c>
      <c r="R28" s="69">
        <v>51.693893100006456</v>
      </c>
      <c r="S28" s="104">
        <v>1828.4260348572898</v>
      </c>
      <c r="T28" s="95">
        <v>26.197691806379598</v>
      </c>
      <c r="U28" s="106">
        <v>899.15356132085128</v>
      </c>
      <c r="V28" s="114">
        <v>37.896728471783625</v>
      </c>
    </row>
    <row r="29" spans="1:22" x14ac:dyDescent="0.2">
      <c r="A29" s="32"/>
      <c r="B29" s="45" t="str">
        <f>VLOOKUP("&lt;Zeilentitel_5.3&gt;",Uebersetzungen!$B$3:$E$83,Uebersetzungen!$B$2+1,FALSE)</f>
        <v>Ausländer/innen der ersten Generation</v>
      </c>
      <c r="C29" s="84">
        <v>34475.342092880506</v>
      </c>
      <c r="D29" s="95">
        <v>6.230446548843374</v>
      </c>
      <c r="E29" s="96">
        <v>25201.375374441428</v>
      </c>
      <c r="F29" s="27">
        <v>7.5300802586595257</v>
      </c>
      <c r="G29" s="104">
        <v>10046.887923904125</v>
      </c>
      <c r="H29" s="95">
        <v>12.340751831701006</v>
      </c>
      <c r="I29" s="66">
        <v>14673.818866603167</v>
      </c>
      <c r="J29" s="95">
        <v>10.05363821293342</v>
      </c>
      <c r="K29" s="106">
        <v>421.04693798084486</v>
      </c>
      <c r="L29" s="69">
        <v>58.795579021180018</v>
      </c>
      <c r="M29" s="106">
        <v>224.80096512228272</v>
      </c>
      <c r="N29" s="97">
        <v>87.553950134912085</v>
      </c>
      <c r="O29" s="66">
        <v>8229.2615082926986</v>
      </c>
      <c r="P29" s="95">
        <v>13.880400159010156</v>
      </c>
      <c r="Q29" s="106">
        <v>709.21990948647749</v>
      </c>
      <c r="R29" s="69">
        <v>47.287860626630497</v>
      </c>
      <c r="S29" s="104">
        <v>5415.1390640587315</v>
      </c>
      <c r="T29" s="95">
        <v>16.898732978555227</v>
      </c>
      <c r="U29" s="104">
        <v>4843.2441135316958</v>
      </c>
      <c r="V29" s="113">
        <v>18.292013515983282</v>
      </c>
    </row>
    <row r="30" spans="1:22" ht="25.5" x14ac:dyDescent="0.2">
      <c r="A30" s="32"/>
      <c r="B30" s="45" t="str">
        <f>VLOOKUP("&lt;Zeilentitel_5.4&gt;",Uebersetzungen!$B$3:$E$83,Uebersetzungen!$B$2+1,FALSE)</f>
        <v>Ausländer/innen der zweiten und höheren Generation</v>
      </c>
      <c r="C30" s="85">
        <v>2021.6579071196713</v>
      </c>
      <c r="D30" s="97">
        <v>28.076510886061921</v>
      </c>
      <c r="E30" s="98">
        <v>1389.745171983008</v>
      </c>
      <c r="F30" s="71">
        <v>33.918032924165047</v>
      </c>
      <c r="G30" s="105">
        <v>1113.2394015162299</v>
      </c>
      <c r="H30" s="97">
        <v>37.451087583363645</v>
      </c>
      <c r="I30" s="70">
        <v>678.70875689831689</v>
      </c>
      <c r="J30" s="97">
        <v>49.949120351943122</v>
      </c>
      <c r="K30" s="104" t="s">
        <v>279</v>
      </c>
      <c r="L30" s="67" t="s">
        <v>279</v>
      </c>
      <c r="M30" s="104" t="s">
        <v>279</v>
      </c>
      <c r="N30" s="95" t="s">
        <v>279</v>
      </c>
      <c r="O30" s="70">
        <v>517.50003427096567</v>
      </c>
      <c r="P30" s="97">
        <v>54.328945506770026</v>
      </c>
      <c r="Q30" s="104" t="s">
        <v>279</v>
      </c>
      <c r="R30" s="67" t="s">
        <v>279</v>
      </c>
      <c r="S30" s="106">
        <v>345.76734036035333</v>
      </c>
      <c r="T30" s="97">
        <v>69.222516672597493</v>
      </c>
      <c r="U30" s="106">
        <v>256.13426300957417</v>
      </c>
      <c r="V30" s="114">
        <v>80.117495296793564</v>
      </c>
    </row>
    <row r="31" spans="1:22" x14ac:dyDescent="0.2">
      <c r="A31" s="31"/>
      <c r="B31" s="45" t="str">
        <f>VLOOKUP("&lt;Zeilentitel_5.5&gt;",Uebersetzungen!$B$3:$E$83,Uebersetzungen!$B$2+1,FALSE)</f>
        <v>Migrationshintergrund unbekannt</v>
      </c>
      <c r="C31" s="86">
        <v>514.69478066784814</v>
      </c>
      <c r="D31" s="97">
        <v>50.328158876178726</v>
      </c>
      <c r="E31" s="99">
        <v>291.76431714156757</v>
      </c>
      <c r="F31" s="71">
        <v>68.577492935730049</v>
      </c>
      <c r="G31" s="106">
        <v>250.6312817058631</v>
      </c>
      <c r="H31" s="97">
        <v>73.280105385136906</v>
      </c>
      <c r="I31" s="66" t="s">
        <v>279</v>
      </c>
      <c r="J31" s="95" t="s">
        <v>279</v>
      </c>
      <c r="K31" s="104" t="s">
        <v>279</v>
      </c>
      <c r="L31" s="67" t="s">
        <v>279</v>
      </c>
      <c r="M31" s="104" t="s">
        <v>279</v>
      </c>
      <c r="N31" s="95" t="s">
        <v>279</v>
      </c>
      <c r="O31" s="66" t="s">
        <v>279</v>
      </c>
      <c r="P31" s="95" t="s">
        <v>279</v>
      </c>
      <c r="Q31" s="104" t="s">
        <v>279</v>
      </c>
      <c r="R31" s="67" t="s">
        <v>279</v>
      </c>
      <c r="S31" s="104" t="s">
        <v>279</v>
      </c>
      <c r="T31" s="95" t="s">
        <v>279</v>
      </c>
      <c r="U31" s="104" t="s">
        <v>279</v>
      </c>
      <c r="V31" s="113" t="s">
        <v>279</v>
      </c>
    </row>
    <row r="32" spans="1:22" x14ac:dyDescent="0.2">
      <c r="A32" s="30" t="str">
        <f>VLOOKUP("&lt;Zeilentitel_6&gt;",Uebersetzungen!$B$3:$E$83,Uebersetzungen!$B$2+1,FALSE)</f>
        <v>Arbeitsmarktstatus</v>
      </c>
      <c r="B32" s="43" t="str">
        <f>VLOOKUP("&lt;Zeilentitel_6.1&gt;",Uebersetzungen!$B$3:$E$83,Uebersetzungen!$B$2+1,FALSE)</f>
        <v>Vollzeiterwerbstätige (90-100%)</v>
      </c>
      <c r="C32" s="117">
        <v>76352.279586869932</v>
      </c>
      <c r="D32" s="118">
        <v>3.3196938408162855</v>
      </c>
      <c r="E32" s="119">
        <v>76352.279586869932</v>
      </c>
      <c r="F32" s="120">
        <v>3.3196938408162855</v>
      </c>
      <c r="G32" s="121">
        <v>57048.33640935475</v>
      </c>
      <c r="H32" s="118">
        <v>4.0602143082650928</v>
      </c>
      <c r="I32" s="122">
        <v>29166.864321763907</v>
      </c>
      <c r="J32" s="118">
        <v>6.4933052676622456</v>
      </c>
      <c r="K32" s="121">
        <v>2146.592879324734</v>
      </c>
      <c r="L32" s="125">
        <v>24.722350702064261</v>
      </c>
      <c r="M32" s="121">
        <v>2465.5426611051885</v>
      </c>
      <c r="N32" s="118">
        <v>23.328667331011044</v>
      </c>
      <c r="O32" s="122">
        <v>18416.326732895952</v>
      </c>
      <c r="P32" s="118">
        <v>8.4761846410407475</v>
      </c>
      <c r="Q32" s="121">
        <v>8591.0794548468493</v>
      </c>
      <c r="R32" s="125">
        <v>12.22663055482643</v>
      </c>
      <c r="S32" s="121">
        <v>13777.268963196608</v>
      </c>
      <c r="T32" s="118">
        <v>9.8036664961177173</v>
      </c>
      <c r="U32" s="121">
        <v>5526.4608880754949</v>
      </c>
      <c r="V32" s="126">
        <v>16.896102979790182</v>
      </c>
    </row>
    <row r="33" spans="1:22" x14ac:dyDescent="0.2">
      <c r="A33" s="32"/>
      <c r="B33" s="45" t="str">
        <f>VLOOKUP("&lt;Zeilentitel_6.2&gt;",Uebersetzungen!$B$3:$E$83,Uebersetzungen!$B$2+1,FALSE)</f>
        <v>Teilzeiterwerbstätige I (70-89%)</v>
      </c>
      <c r="C33" s="84">
        <v>10918.113850808115</v>
      </c>
      <c r="D33" s="95">
        <v>10.708425501889478</v>
      </c>
      <c r="E33" s="96">
        <v>10918.113850808115</v>
      </c>
      <c r="F33" s="27">
        <v>10.708425501889478</v>
      </c>
      <c r="G33" s="104">
        <v>8945.8629221599294</v>
      </c>
      <c r="H33" s="95">
        <v>11.853193230207987</v>
      </c>
      <c r="I33" s="66">
        <v>4181.1317988160463</v>
      </c>
      <c r="J33" s="95">
        <v>17.710160128069187</v>
      </c>
      <c r="K33" s="106">
        <v>438.72177284208504</v>
      </c>
      <c r="L33" s="69">
        <v>53.607399658212003</v>
      </c>
      <c r="M33" s="106">
        <v>211.80645147041983</v>
      </c>
      <c r="N33" s="97">
        <v>79.095533007055522</v>
      </c>
      <c r="O33" s="66">
        <v>1998.4629638952388</v>
      </c>
      <c r="P33" s="95">
        <v>25.892628214011648</v>
      </c>
      <c r="Q33" s="106">
        <v>975.76980235629344</v>
      </c>
      <c r="R33" s="69">
        <v>36.50833082124111</v>
      </c>
      <c r="S33" s="105">
        <v>1318.0114758157806</v>
      </c>
      <c r="T33" s="97">
        <v>31.371743060006317</v>
      </c>
      <c r="U33" s="106">
        <v>342.3657142101801</v>
      </c>
      <c r="V33" s="114">
        <v>64.773629724479306</v>
      </c>
    </row>
    <row r="34" spans="1:22" x14ac:dyDescent="0.2">
      <c r="A34" s="32"/>
      <c r="B34" s="45" t="str">
        <f>VLOOKUP("&lt;Zeilentitel_6.3&gt;",Uebersetzungen!$B$3:$E$83,Uebersetzungen!$B$2+1,FALSE)</f>
        <v>Teilzeiterwerbstätige II (50-69%)</v>
      </c>
      <c r="C34" s="84">
        <v>10665.876002029285</v>
      </c>
      <c r="D34" s="95">
        <v>10.7965618272288</v>
      </c>
      <c r="E34" s="96">
        <v>10665.876002029285</v>
      </c>
      <c r="F34" s="27">
        <v>10.7965618272288</v>
      </c>
      <c r="G34" s="104">
        <v>8815.9402886366825</v>
      </c>
      <c r="H34" s="95">
        <v>11.911816112507973</v>
      </c>
      <c r="I34" s="66">
        <v>4068.3280466231136</v>
      </c>
      <c r="J34" s="95">
        <v>17.859814852730647</v>
      </c>
      <c r="K34" s="106">
        <v>253.18666497459282</v>
      </c>
      <c r="L34" s="69">
        <v>73.56483000850001</v>
      </c>
      <c r="M34" s="106">
        <v>371.95154557262822</v>
      </c>
      <c r="N34" s="97">
        <v>58.304692155659055</v>
      </c>
      <c r="O34" s="68">
        <v>1490.5675486735606</v>
      </c>
      <c r="P34" s="97">
        <v>29.914307883335017</v>
      </c>
      <c r="Q34" s="105">
        <v>1183.4808870756042</v>
      </c>
      <c r="R34" s="69">
        <v>33.150020466657445</v>
      </c>
      <c r="S34" s="105">
        <v>1478.0768366741247</v>
      </c>
      <c r="T34" s="97">
        <v>29.962683308193029</v>
      </c>
      <c r="U34" s="106">
        <v>746.9321057857552</v>
      </c>
      <c r="V34" s="114">
        <v>42.587873741057649</v>
      </c>
    </row>
    <row r="35" spans="1:22" x14ac:dyDescent="0.2">
      <c r="A35" s="31"/>
      <c r="B35" s="45" t="str">
        <f>VLOOKUP("&lt;Zeilentitel_6.4&gt;",Uebersetzungen!$B$3:$E$83,Uebersetzungen!$B$2+1,FALSE)</f>
        <v>Teilzeiterwerbstätige III (weniger als 50%)</v>
      </c>
      <c r="C35" s="127">
        <v>12254.05758368173</v>
      </c>
      <c r="D35" s="128">
        <v>9.8864629620964486</v>
      </c>
      <c r="E35" s="129">
        <v>12254.05758368173</v>
      </c>
      <c r="F35" s="77">
        <v>9.8864629620964486</v>
      </c>
      <c r="G35" s="130">
        <v>10566.28761454119</v>
      </c>
      <c r="H35" s="128">
        <v>10.71845114387736</v>
      </c>
      <c r="I35" s="75">
        <v>4037.176506026799</v>
      </c>
      <c r="J35" s="128">
        <v>17.894474802088194</v>
      </c>
      <c r="K35" s="134">
        <v>165.15812170342613</v>
      </c>
      <c r="L35" s="79">
        <v>86.595331443713178</v>
      </c>
      <c r="M35" s="134">
        <v>268.22240470543892</v>
      </c>
      <c r="N35" s="132">
        <v>68.326470661424594</v>
      </c>
      <c r="O35" s="78">
        <v>1536.5604893627708</v>
      </c>
      <c r="P35" s="132">
        <v>28.752596612611406</v>
      </c>
      <c r="Q35" s="130">
        <v>1756.209166857833</v>
      </c>
      <c r="R35" s="76">
        <v>26.718767078639367</v>
      </c>
      <c r="S35" s="131">
        <v>1623.0898879859362</v>
      </c>
      <c r="T35" s="132">
        <v>28.864510454663307</v>
      </c>
      <c r="U35" s="134">
        <v>387.5355555856442</v>
      </c>
      <c r="V35" s="135">
        <v>58.656165985599792</v>
      </c>
    </row>
    <row r="36" spans="1:22" x14ac:dyDescent="0.2">
      <c r="A36" s="32" t="str">
        <f>VLOOKUP("&lt;Zeilentitel_7&gt;",Uebersetzungen!$B$3:$E$83,Uebersetzungen!$B$2+1,FALSE)</f>
        <v>Sozioprofessionelle Kategorien</v>
      </c>
      <c r="B36" s="43" t="str">
        <f>VLOOKUP("&lt;Zeilentitel_7.1&gt;",Uebersetzungen!$B$3:$E$83,Uebersetzungen!$B$2+1,FALSE)</f>
        <v>Oberstes Management</v>
      </c>
      <c r="C36" s="84">
        <v>2591.821881584016</v>
      </c>
      <c r="D36" s="95">
        <v>22.096779166267048</v>
      </c>
      <c r="E36" s="96">
        <v>2591.821881584016</v>
      </c>
      <c r="F36" s="27">
        <v>22.096779166267048</v>
      </c>
      <c r="G36" s="104">
        <v>1955.4815567794267</v>
      </c>
      <c r="H36" s="95">
        <v>25.303040422265084</v>
      </c>
      <c r="I36" s="68">
        <v>1338.0125697194803</v>
      </c>
      <c r="J36" s="97">
        <v>30.992933940993979</v>
      </c>
      <c r="K36" s="106">
        <v>196.68701346083233</v>
      </c>
      <c r="L36" s="69">
        <v>78.954022151899593</v>
      </c>
      <c r="M36" s="104" t="s">
        <v>279</v>
      </c>
      <c r="N36" s="95" t="s">
        <v>279</v>
      </c>
      <c r="O36" s="70">
        <v>597.65464392233775</v>
      </c>
      <c r="P36" s="97">
        <v>45.54323541118351</v>
      </c>
      <c r="Q36" s="106">
        <v>288.66577203802512</v>
      </c>
      <c r="R36" s="69">
        <v>64.416125373157755</v>
      </c>
      <c r="S36" s="106">
        <v>735.23762410463132</v>
      </c>
      <c r="T36" s="97">
        <v>41.176109348119709</v>
      </c>
      <c r="U36" s="104" t="s">
        <v>279</v>
      </c>
      <c r="V36" s="113" t="s">
        <v>279</v>
      </c>
    </row>
    <row r="37" spans="1:22" x14ac:dyDescent="0.2">
      <c r="A37" s="33"/>
      <c r="B37" s="45" t="str">
        <f>VLOOKUP("&lt;Zeilentitel_7.2&gt;",Uebersetzungen!$B$3:$E$83,Uebersetzungen!$B$2+1,FALSE)</f>
        <v>Freie und gleichgestellte Berufe</v>
      </c>
      <c r="C37" s="84">
        <v>2772.6059416691332</v>
      </c>
      <c r="D37" s="95">
        <v>21.257825256075535</v>
      </c>
      <c r="E37" s="96">
        <v>2772.6059416691332</v>
      </c>
      <c r="F37" s="27">
        <v>21.257825256075535</v>
      </c>
      <c r="G37" s="104">
        <v>2135.1983363085342</v>
      </c>
      <c r="H37" s="95">
        <v>24.077516651702833</v>
      </c>
      <c r="I37" s="68">
        <v>1254.1954286906803</v>
      </c>
      <c r="J37" s="97">
        <v>31.842157042913676</v>
      </c>
      <c r="K37" s="104" t="s">
        <v>279</v>
      </c>
      <c r="L37" s="67" t="s">
        <v>279</v>
      </c>
      <c r="M37" s="104" t="s">
        <v>279</v>
      </c>
      <c r="N37" s="95" t="s">
        <v>279</v>
      </c>
      <c r="O37" s="70">
        <v>877.35296987350068</v>
      </c>
      <c r="P37" s="97">
        <v>37.94339128582002</v>
      </c>
      <c r="Q37" s="106">
        <v>469.70445464811701</v>
      </c>
      <c r="R37" s="69">
        <v>51.790732215526894</v>
      </c>
      <c r="S37" s="106">
        <v>936.56952714304759</v>
      </c>
      <c r="T37" s="97">
        <v>37.24153608925976</v>
      </c>
      <c r="U37" s="104" t="s">
        <v>279</v>
      </c>
      <c r="V37" s="113" t="s">
        <v>279</v>
      </c>
    </row>
    <row r="38" spans="1:22" x14ac:dyDescent="0.2">
      <c r="A38" s="34"/>
      <c r="B38" s="45" t="str">
        <f>VLOOKUP("&lt;Zeilentitel_7.3&gt;",Uebersetzungen!$B$3:$E$83,Uebersetzungen!$B$2+1,FALSE)</f>
        <v>Andere Selbstständige</v>
      </c>
      <c r="C38" s="84">
        <v>13585.627488911183</v>
      </c>
      <c r="D38" s="95">
        <v>9.6193425282333873</v>
      </c>
      <c r="E38" s="96">
        <v>13585.627488911183</v>
      </c>
      <c r="F38" s="27">
        <v>9.6193425282333873</v>
      </c>
      <c r="G38" s="104">
        <v>11058.838183895985</v>
      </c>
      <c r="H38" s="95">
        <v>10.732576144498367</v>
      </c>
      <c r="I38" s="66">
        <v>3346.3472382113068</v>
      </c>
      <c r="J38" s="95">
        <v>20.195016479116219</v>
      </c>
      <c r="K38" s="106">
        <v>212.31607813787932</v>
      </c>
      <c r="L38" s="69">
        <v>79.027545494509837</v>
      </c>
      <c r="M38" s="106">
        <v>813.22247892113307</v>
      </c>
      <c r="N38" s="97">
        <v>40.425197100974223</v>
      </c>
      <c r="O38" s="66">
        <v>2409.8944438982389</v>
      </c>
      <c r="P38" s="95">
        <v>23.623957608903304</v>
      </c>
      <c r="Q38" s="105">
        <v>1692.113123983266</v>
      </c>
      <c r="R38" s="69">
        <v>27.868999543262898</v>
      </c>
      <c r="S38" s="105">
        <v>1334.2492126552302</v>
      </c>
      <c r="T38" s="97">
        <v>31.353964198909932</v>
      </c>
      <c r="U38" s="106">
        <v>492.65199813474527</v>
      </c>
      <c r="V38" s="114">
        <v>54.06063728502231</v>
      </c>
    </row>
    <row r="39" spans="1:22" x14ac:dyDescent="0.2">
      <c r="A39" s="34"/>
      <c r="B39" s="45" t="str">
        <f>VLOOKUP("&lt;Zeilentitel_7.4&gt;",Uebersetzungen!$B$3:$E$83,Uebersetzungen!$B$2+1,FALSE)</f>
        <v>Akademische Berufe und oberes Kader</v>
      </c>
      <c r="C39" s="84">
        <v>16516.630569380319</v>
      </c>
      <c r="D39" s="95">
        <v>8.5095799786306721</v>
      </c>
      <c r="E39" s="96">
        <v>16516.630569380319</v>
      </c>
      <c r="F39" s="27">
        <v>8.5095799786306721</v>
      </c>
      <c r="G39" s="104">
        <v>12681.388915052947</v>
      </c>
      <c r="H39" s="95">
        <v>9.7442564464757613</v>
      </c>
      <c r="I39" s="66">
        <v>9146.1044295659631</v>
      </c>
      <c r="J39" s="95">
        <v>11.749940990029625</v>
      </c>
      <c r="K39" s="106">
        <v>697.97311512836006</v>
      </c>
      <c r="L39" s="69">
        <v>42.182719789460137</v>
      </c>
      <c r="M39" s="106">
        <v>297.76041484712141</v>
      </c>
      <c r="N39" s="97">
        <v>64.568369993289423</v>
      </c>
      <c r="O39" s="66">
        <v>3017.3747621184752</v>
      </c>
      <c r="P39" s="95">
        <v>20.669133691543642</v>
      </c>
      <c r="Q39" s="105">
        <v>1538.094303511896</v>
      </c>
      <c r="R39" s="69">
        <v>28.407582568215357</v>
      </c>
      <c r="S39" s="104">
        <v>4745.1016396555897</v>
      </c>
      <c r="T39" s="95">
        <v>16.680904896881231</v>
      </c>
      <c r="U39" s="106">
        <v>386.81172129286239</v>
      </c>
      <c r="V39" s="114">
        <v>58.546330661234329</v>
      </c>
    </row>
    <row r="40" spans="1:22" x14ac:dyDescent="0.2">
      <c r="A40" s="34"/>
      <c r="B40" s="45" t="str">
        <f>VLOOKUP("&lt;Zeilentitel_7.5&gt;",Uebersetzungen!$B$3:$E$83,Uebersetzungen!$B$2+1,FALSE)</f>
        <v>Intermediäre Berufe</v>
      </c>
      <c r="C40" s="84">
        <v>31500.389602709791</v>
      </c>
      <c r="D40" s="95">
        <v>6.0706703697586724</v>
      </c>
      <c r="E40" s="96">
        <v>31500.389602709791</v>
      </c>
      <c r="F40" s="27">
        <v>6.0706703697586724</v>
      </c>
      <c r="G40" s="104">
        <v>24756.634922430523</v>
      </c>
      <c r="H40" s="95">
        <v>6.8853974809300489</v>
      </c>
      <c r="I40" s="66">
        <v>12250.404022986859</v>
      </c>
      <c r="J40" s="95">
        <v>10.48648417584223</v>
      </c>
      <c r="K40" s="106">
        <v>867.2117428794071</v>
      </c>
      <c r="L40" s="69">
        <v>38.785824034067311</v>
      </c>
      <c r="M40" s="106">
        <v>844.25797963218588</v>
      </c>
      <c r="N40" s="97">
        <v>39.803748309888697</v>
      </c>
      <c r="O40" s="66">
        <v>6740.6544634511365</v>
      </c>
      <c r="P40" s="95">
        <v>14.361923558157768</v>
      </c>
      <c r="Q40" s="104">
        <v>3127.9790968459674</v>
      </c>
      <c r="R40" s="67">
        <v>20.583938870261882</v>
      </c>
      <c r="S40" s="104">
        <v>5327.2595014760964</v>
      </c>
      <c r="T40" s="95">
        <v>16.138692687310119</v>
      </c>
      <c r="U40" s="104">
        <v>2110.3082808802587</v>
      </c>
      <c r="V40" s="113">
        <v>27.037018399352501</v>
      </c>
    </row>
    <row r="41" spans="1:22" x14ac:dyDescent="0.2">
      <c r="A41" s="34"/>
      <c r="B41" s="45" t="str">
        <f>VLOOKUP("&lt;Zeilentitel_7.6&gt;",Uebersetzungen!$B$3:$E$83,Uebersetzungen!$B$2+1,FALSE)</f>
        <v>Qualifizierte nichtmanuelle Berufe</v>
      </c>
      <c r="C41" s="84">
        <v>23605.686619492506</v>
      </c>
      <c r="D41" s="95">
        <v>7.0821137163126417</v>
      </c>
      <c r="E41" s="96">
        <v>23605.686619492506</v>
      </c>
      <c r="F41" s="27">
        <v>7.0821137163126417</v>
      </c>
      <c r="G41" s="104">
        <v>19507.685751617715</v>
      </c>
      <c r="H41" s="95">
        <v>7.8176541099973171</v>
      </c>
      <c r="I41" s="66">
        <v>8156.4267696847155</v>
      </c>
      <c r="J41" s="95">
        <v>12.897394617272388</v>
      </c>
      <c r="K41" s="106">
        <v>567.72181397298414</v>
      </c>
      <c r="L41" s="69">
        <v>48.351847842881789</v>
      </c>
      <c r="M41" s="106">
        <v>632.22554120643383</v>
      </c>
      <c r="N41" s="97">
        <v>45.664420670223855</v>
      </c>
      <c r="O41" s="66">
        <v>4386.2832803203073</v>
      </c>
      <c r="P41" s="95">
        <v>17.576524402963738</v>
      </c>
      <c r="Q41" s="104">
        <v>3014.438430141789</v>
      </c>
      <c r="R41" s="67">
        <v>20.84418622989617</v>
      </c>
      <c r="S41" s="104">
        <v>3336.9384134020102</v>
      </c>
      <c r="T41" s="95">
        <v>20.758409750882478</v>
      </c>
      <c r="U41" s="105">
        <v>1092.6488378323181</v>
      </c>
      <c r="V41" s="114">
        <v>37.632081472582747</v>
      </c>
    </row>
    <row r="42" spans="1:22" x14ac:dyDescent="0.2">
      <c r="A42" s="34"/>
      <c r="B42" s="45" t="str">
        <f>VLOOKUP("&lt;Zeilentitel_7.7&gt;",Uebersetzungen!$B$3:$E$83,Uebersetzungen!$B$2+1,FALSE)</f>
        <v>Qualifizierte manuelle Berufe</v>
      </c>
      <c r="C42" s="84">
        <v>9675.5097240627765</v>
      </c>
      <c r="D42" s="95">
        <v>12.183978199175273</v>
      </c>
      <c r="E42" s="96">
        <v>9675.5097240627765</v>
      </c>
      <c r="F42" s="27">
        <v>12.183978199175273</v>
      </c>
      <c r="G42" s="104">
        <v>7360.7229638511062</v>
      </c>
      <c r="H42" s="95">
        <v>13.69207258893759</v>
      </c>
      <c r="I42" s="66">
        <v>2322.2543026715366</v>
      </c>
      <c r="J42" s="95">
        <v>26.406850457102742</v>
      </c>
      <c r="K42" s="104" t="s">
        <v>279</v>
      </c>
      <c r="L42" s="67" t="s">
        <v>279</v>
      </c>
      <c r="M42" s="106">
        <v>292.95282079075241</v>
      </c>
      <c r="N42" s="97">
        <v>68.464517667531396</v>
      </c>
      <c r="O42" s="66">
        <v>2225.9892443786725</v>
      </c>
      <c r="P42" s="95">
        <v>26.912003158502166</v>
      </c>
      <c r="Q42" s="105">
        <v>1561.2188776370172</v>
      </c>
      <c r="R42" s="69">
        <v>29.489529032480668</v>
      </c>
      <c r="S42" s="106">
        <v>827.25327498598506</v>
      </c>
      <c r="T42" s="97">
        <v>43.589732542294918</v>
      </c>
      <c r="U42" s="106">
        <v>794.53182843002367</v>
      </c>
      <c r="V42" s="114">
        <v>46.307840224282771</v>
      </c>
    </row>
    <row r="43" spans="1:22" x14ac:dyDescent="0.2">
      <c r="A43" s="34"/>
      <c r="B43" s="45" t="str">
        <f>VLOOKUP("&lt;Zeilentitel_7.8&gt;",Uebersetzungen!$B$3:$E$83,Uebersetzungen!$B$2+1,FALSE)</f>
        <v>Ungelernte Angestellte und Arbeiter</v>
      </c>
      <c r="C43" s="84">
        <v>5853.1832767080768</v>
      </c>
      <c r="D43" s="95">
        <v>16.140312244326317</v>
      </c>
      <c r="E43" s="96">
        <v>5853.1832767080768</v>
      </c>
      <c r="F43" s="27">
        <v>16.140312244326317</v>
      </c>
      <c r="G43" s="104">
        <v>2620.0722158340091</v>
      </c>
      <c r="H43" s="95">
        <v>23.616779186386271</v>
      </c>
      <c r="I43" s="66">
        <v>2048.8526533416184</v>
      </c>
      <c r="J43" s="95">
        <v>27.34430842274497</v>
      </c>
      <c r="K43" s="104" t="s">
        <v>279</v>
      </c>
      <c r="L43" s="67" t="s">
        <v>279</v>
      </c>
      <c r="M43" s="104" t="s">
        <v>279</v>
      </c>
      <c r="N43" s="95" t="s">
        <v>279</v>
      </c>
      <c r="O43" s="66">
        <v>2496.4294478173688</v>
      </c>
      <c r="P43" s="95">
        <v>25.626704529726418</v>
      </c>
      <c r="Q43" s="106">
        <v>572.9595425948728</v>
      </c>
      <c r="R43" s="69">
        <v>50.635770885735283</v>
      </c>
      <c r="S43" s="106">
        <v>467.87475503153723</v>
      </c>
      <c r="T43" s="97">
        <v>59.380320857551908</v>
      </c>
      <c r="U43" s="105">
        <v>1767.0189065345319</v>
      </c>
      <c r="V43" s="114">
        <v>30.454464691228569</v>
      </c>
    </row>
    <row r="44" spans="1:22" ht="25.5" customHeight="1" x14ac:dyDescent="0.2">
      <c r="A44" s="34"/>
      <c r="B44" s="45" t="str">
        <f>VLOOKUP("&lt;Zeilentitel_7.9&gt;",Uebersetzungen!$B$3:$E$83,Uebersetzungen!$B$2+1,FALSE)</f>
        <v>Lernende in dualer beruflicher Grundbildung (Lehrlinge)</v>
      </c>
      <c r="C44" s="84">
        <v>2635.7418494780122</v>
      </c>
      <c r="D44" s="95">
        <v>22.722475697722587</v>
      </c>
      <c r="E44" s="96">
        <v>2635.7418494780122</v>
      </c>
      <c r="F44" s="27">
        <v>22.722475697722587</v>
      </c>
      <c r="G44" s="104">
        <v>2267.3370227961464</v>
      </c>
      <c r="H44" s="95">
        <v>24.200567452247483</v>
      </c>
      <c r="I44" s="70">
        <v>915.71582337752238</v>
      </c>
      <c r="J44" s="97">
        <v>40.073388086913617</v>
      </c>
      <c r="K44" s="104" t="s">
        <v>279</v>
      </c>
      <c r="L44" s="67" t="s">
        <v>279</v>
      </c>
      <c r="M44" s="104" t="s">
        <v>279</v>
      </c>
      <c r="N44" s="95" t="s">
        <v>279</v>
      </c>
      <c r="O44" s="70">
        <v>418.64684921479602</v>
      </c>
      <c r="P44" s="97">
        <v>55.856614501404053</v>
      </c>
      <c r="Q44" s="106">
        <v>170.99665522067966</v>
      </c>
      <c r="R44" s="69">
        <v>86.548906309866595</v>
      </c>
      <c r="S44" s="106">
        <v>291.17861454347627</v>
      </c>
      <c r="T44" s="97">
        <v>68.757260154862053</v>
      </c>
      <c r="U44" s="104" t="s">
        <v>279</v>
      </c>
      <c r="V44" s="113" t="s">
        <v>279</v>
      </c>
    </row>
    <row r="45" spans="1:22" ht="38.25" x14ac:dyDescent="0.2">
      <c r="A45" s="34"/>
      <c r="B45" s="45" t="str">
        <f>VLOOKUP("&lt;Zeilentitel_7.10&gt;",Uebersetzungen!$B$3:$E$83,Uebersetzungen!$B$2+1,FALSE)</f>
        <v>Nicht zuteilbare Erwerbstätige (fehlende oder unklare Basisdaten oder unplausible Kombination)</v>
      </c>
      <c r="C45" s="85">
        <v>1453.1300693931603</v>
      </c>
      <c r="D45" s="97">
        <v>31.192680984634492</v>
      </c>
      <c r="E45" s="98">
        <v>1453.1300693931603</v>
      </c>
      <c r="F45" s="71">
        <v>31.192680984634492</v>
      </c>
      <c r="G45" s="105">
        <v>1033.0673661261385</v>
      </c>
      <c r="H45" s="97">
        <v>36.762135346869329</v>
      </c>
      <c r="I45" s="70">
        <v>675.18743498015817</v>
      </c>
      <c r="J45" s="97">
        <v>45.953607652101695</v>
      </c>
      <c r="K45" s="104" t="s">
        <v>279</v>
      </c>
      <c r="L45" s="67" t="s">
        <v>279</v>
      </c>
      <c r="M45" s="104" t="s">
        <v>279</v>
      </c>
      <c r="N45" s="95" t="s">
        <v>279</v>
      </c>
      <c r="O45" s="70">
        <v>271.63762983268992</v>
      </c>
      <c r="P45" s="97">
        <v>73.371632000750921</v>
      </c>
      <c r="Q45" s="104" t="s">
        <v>279</v>
      </c>
      <c r="R45" s="67" t="s">
        <v>279</v>
      </c>
      <c r="S45" s="106">
        <v>194.78460067485213</v>
      </c>
      <c r="T45" s="97">
        <v>86.457304500274759</v>
      </c>
      <c r="U45" s="104" t="s">
        <v>279</v>
      </c>
      <c r="V45" s="113" t="s">
        <v>279</v>
      </c>
    </row>
    <row r="46" spans="1:22" x14ac:dyDescent="0.2">
      <c r="A46" s="34"/>
      <c r="B46" s="45" t="str">
        <f>VLOOKUP("&lt;Zeilentitel_7.11&gt;",Uebersetzungen!$B$3:$E$83,Uebersetzungen!$B$2+1,FALSE)</f>
        <v>Erwerbslose und Nichterwerbspersonen</v>
      </c>
      <c r="C46" s="84">
        <v>65786.672976606395</v>
      </c>
      <c r="D46" s="95">
        <v>3.5246268704900596</v>
      </c>
      <c r="E46" s="100" t="s">
        <v>279</v>
      </c>
      <c r="F46" s="72" t="s">
        <v>279</v>
      </c>
      <c r="G46" s="107" t="s">
        <v>279</v>
      </c>
      <c r="H46" s="108" t="s">
        <v>279</v>
      </c>
      <c r="I46" s="73" t="s">
        <v>279</v>
      </c>
      <c r="J46" s="108" t="s">
        <v>279</v>
      </c>
      <c r="K46" s="107" t="s">
        <v>279</v>
      </c>
      <c r="L46" s="74" t="s">
        <v>279</v>
      </c>
      <c r="M46" s="107" t="s">
        <v>279</v>
      </c>
      <c r="N46" s="108" t="s">
        <v>279</v>
      </c>
      <c r="O46" s="73" t="s">
        <v>279</v>
      </c>
      <c r="P46" s="108" t="s">
        <v>279</v>
      </c>
      <c r="Q46" s="107" t="s">
        <v>279</v>
      </c>
      <c r="R46" s="74" t="s">
        <v>279</v>
      </c>
      <c r="S46" s="107" t="s">
        <v>279</v>
      </c>
      <c r="T46" s="108" t="s">
        <v>279</v>
      </c>
      <c r="U46" s="107" t="s">
        <v>279</v>
      </c>
      <c r="V46" s="115" t="s">
        <v>279</v>
      </c>
    </row>
    <row r="47" spans="1:22" ht="12.75" customHeight="1" x14ac:dyDescent="0.2">
      <c r="A47" s="30" t="str">
        <f>VLOOKUP("&lt;Zeilentitel_8&gt;",Uebersetzungen!$B$3:$E$83,Uebersetzungen!$B$2+1,FALSE)</f>
        <v>Höchste abgeschlossene Ausbildung</v>
      </c>
      <c r="B47" s="43" t="str">
        <f>VLOOKUP("&lt;Zeilentitel_8.1&gt;",Uebersetzungen!$B$3:$E$83,Uebersetzungen!$B$2+1,FALSE)</f>
        <v>Ohne nachobligatorische Aubildung</v>
      </c>
      <c r="C47" s="117">
        <v>32938.13710136617</v>
      </c>
      <c r="D47" s="118">
        <v>5.9139819080388278</v>
      </c>
      <c r="E47" s="119">
        <v>13045.770213249396</v>
      </c>
      <c r="F47" s="120">
        <v>10.358478493584411</v>
      </c>
      <c r="G47" s="121">
        <v>7520.0704137674466</v>
      </c>
      <c r="H47" s="118">
        <v>13.468044492294354</v>
      </c>
      <c r="I47" s="122">
        <v>4203.2563199105653</v>
      </c>
      <c r="J47" s="118">
        <v>18.95198475085634</v>
      </c>
      <c r="K47" s="136">
        <v>240.70769631268203</v>
      </c>
      <c r="L47" s="124">
        <v>79.28192803624637</v>
      </c>
      <c r="M47" s="136">
        <v>606.22602347300381</v>
      </c>
      <c r="N47" s="137">
        <v>48.945351703593332</v>
      </c>
      <c r="O47" s="122">
        <v>4991.5904823164437</v>
      </c>
      <c r="P47" s="118">
        <v>17.552505229068142</v>
      </c>
      <c r="Q47" s="123">
        <v>1037.5728479319469</v>
      </c>
      <c r="R47" s="124">
        <v>36.860841428295096</v>
      </c>
      <c r="S47" s="123">
        <v>1363.1982684497107</v>
      </c>
      <c r="T47" s="137">
        <v>33.569697338308139</v>
      </c>
      <c r="U47" s="121">
        <v>2864.3276105511095</v>
      </c>
      <c r="V47" s="126">
        <v>23.640303091619455</v>
      </c>
    </row>
    <row r="48" spans="1:22" x14ac:dyDescent="0.2">
      <c r="A48" s="34"/>
      <c r="B48" s="45" t="str">
        <f>VLOOKUP("&lt;Zeilentitel_8.2&gt;",Uebersetzungen!$B$3:$E$83,Uebersetzungen!$B$2+1,FALSE)</f>
        <v>Sekundarstufe II</v>
      </c>
      <c r="C48" s="84">
        <v>81217.846845221968</v>
      </c>
      <c r="D48" s="95">
        <v>3.0408354358788965</v>
      </c>
      <c r="E48" s="96">
        <v>52233.129628803486</v>
      </c>
      <c r="F48" s="27">
        <v>4.3900365943543989</v>
      </c>
      <c r="G48" s="104">
        <v>42278.623820048291</v>
      </c>
      <c r="H48" s="95">
        <v>4.9938232738548223</v>
      </c>
      <c r="I48" s="66">
        <v>16522.360130836216</v>
      </c>
      <c r="J48" s="95">
        <v>8.9744474537442311</v>
      </c>
      <c r="K48" s="106">
        <v>773.55972671470852</v>
      </c>
      <c r="L48" s="69">
        <v>41.198246272085655</v>
      </c>
      <c r="M48" s="105">
        <v>1669.1766428502322</v>
      </c>
      <c r="N48" s="97">
        <v>28.204188038588892</v>
      </c>
      <c r="O48" s="66">
        <v>10183.103875569219</v>
      </c>
      <c r="P48" s="95">
        <v>11.57583517237542</v>
      </c>
      <c r="Q48" s="104">
        <v>6697.631621427211</v>
      </c>
      <c r="R48" s="67">
        <v>13.847702714729188</v>
      </c>
      <c r="S48" s="104">
        <v>6014.3733654559801</v>
      </c>
      <c r="T48" s="95">
        <v>15.426606738153337</v>
      </c>
      <c r="U48" s="104">
        <v>2389.2147661094964</v>
      </c>
      <c r="V48" s="113">
        <v>25.821421806831147</v>
      </c>
    </row>
    <row r="49" spans="1:22" ht="13.5" thickBot="1" x14ac:dyDescent="0.25">
      <c r="A49" s="35"/>
      <c r="B49" s="46" t="str">
        <f>VLOOKUP("&lt;Zeilentitel_8.3&gt;",Uebersetzungen!$B$3:$E$83,Uebersetzungen!$B$2+1,FALSE)</f>
        <v>Tertiärstufe</v>
      </c>
      <c r="C49" s="87">
        <v>61821.016053407497</v>
      </c>
      <c r="D49" s="101">
        <v>3.7375170185912698</v>
      </c>
      <c r="E49" s="102">
        <v>44911.42718133601</v>
      </c>
      <c r="F49" s="89">
        <v>4.7147900181177498</v>
      </c>
      <c r="G49" s="109">
        <v>35577.733000876789</v>
      </c>
      <c r="H49" s="101">
        <v>5.410413351741429</v>
      </c>
      <c r="I49" s="90">
        <v>20727.884222483048</v>
      </c>
      <c r="J49" s="101">
        <v>7.6107771356792675</v>
      </c>
      <c r="K49" s="109">
        <v>1989.3920158174476</v>
      </c>
      <c r="L49" s="88">
        <v>25.34928317613873</v>
      </c>
      <c r="M49" s="110">
        <v>1042.1203965304389</v>
      </c>
      <c r="N49" s="111">
        <v>34.787443953631964</v>
      </c>
      <c r="O49" s="90">
        <v>8267.2233769418526</v>
      </c>
      <c r="P49" s="101">
        <v>12.427423662287616</v>
      </c>
      <c r="Q49" s="109">
        <v>4771.3348417774223</v>
      </c>
      <c r="R49" s="88">
        <v>16.313489439245302</v>
      </c>
      <c r="S49" s="109">
        <v>10818.875529766767</v>
      </c>
      <c r="T49" s="101">
        <v>10.826456002610399</v>
      </c>
      <c r="U49" s="110">
        <v>1749.7518869964636</v>
      </c>
      <c r="V49" s="116">
        <v>28.330339543740021</v>
      </c>
    </row>
    <row r="50" spans="1:22" x14ac:dyDescent="0.2">
      <c r="A50" s="25"/>
      <c r="B50" s="18"/>
      <c r="C50" s="26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6"/>
      <c r="T50" s="27"/>
      <c r="U50" s="28"/>
      <c r="V50" s="27"/>
    </row>
    <row r="51" spans="1:22" x14ac:dyDescent="0.2">
      <c r="A51" s="13" t="str">
        <f>VLOOKUP("&lt;Legende_1&gt;",Uebersetzungen!$B$3:$E$72,Uebersetzungen!$B$2+1,FALSE)</f>
        <v>Die Befragten konnten mehrere Hauptsprachen nennen.</v>
      </c>
    </row>
    <row r="52" spans="1:22" x14ac:dyDescent="0.2">
      <c r="A52" s="13" t="str">
        <f>VLOOKUP("&lt;Legende_2&gt;",Uebersetzungen!$B$3:$E$72,Uebersetzungen!$B$2+1,FALSE)</f>
        <v>(): Extrapolation aufgrund von 49 oder weniger Beobachtungen. Die Resultate sind mit grosser Vorsicht zu interpretieren.</v>
      </c>
    </row>
    <row r="53" spans="1:22" x14ac:dyDescent="0.2">
      <c r="A53" s="13" t="str">
        <f>VLOOKUP("&lt;Legende_3&gt;",Uebersetzungen!$B$3:$E$72,Uebersetzungen!$B$2+1,FALSE)</f>
        <v>X: Extrapolation aufgrund von 4 oder weniger Beobachtungen. Die Resultate werden aus Gründen des Datenschutzes nicht publiziert.</v>
      </c>
    </row>
    <row r="54" spans="1:22" x14ac:dyDescent="0.2">
      <c r="A54" s="13" t="str">
        <f>VLOOKUP("&lt;Legende_4&gt;",Uebersetzungen!$B$3:$E$72,Uebersetzungen!$B$2+1,FALSE)</f>
        <v>Die Grundgesamtheit der Strukturerhebung enthält alle Personen der ständigen Wohnbevölkerung ab vollendetem 15. Altersjahr, die in Privathaushalten leben.</v>
      </c>
    </row>
    <row r="55" spans="1:22" x14ac:dyDescent="0.2">
      <c r="A55" s="41" t="str">
        <f>VLOOKUP("&lt;Legende_5&gt;",Uebersetzungen!$B$3:$E$72,Uebersetzungen!$B$2+1,FALSE)</f>
        <v>Aus der Grundgesamtheit ausgeschlossen wurden neben den Personen, die in Kollektivhaushalten leben, auch Diplomaten, internationale Funktionäre und deren Angehörige.</v>
      </c>
    </row>
    <row r="56" spans="1:22" x14ac:dyDescent="0.2">
      <c r="A56" s="7"/>
    </row>
    <row r="57" spans="1:22" x14ac:dyDescent="0.2">
      <c r="A57" s="7" t="str">
        <f>VLOOKUP("&lt;Quelle_1&gt;",Uebersetzungen!$B$3:$E$83,Uebersetzungen!$B$2+1,FALSE)</f>
        <v>Quelle: BFS (Strukturerhebung)</v>
      </c>
    </row>
    <row r="58" spans="1:22" x14ac:dyDescent="0.2">
      <c r="A58" s="6" t="str">
        <f>VLOOKUP("&lt;Aktualisierung&gt;",Uebersetzungen!$B$3:$E$83,Uebersetzungen!$B$2+1,FALSE)</f>
        <v>Letztmals aktualisiert am: 05.03.2026</v>
      </c>
    </row>
    <row r="59" spans="1:22" x14ac:dyDescent="0.2">
      <c r="B59" s="9"/>
      <c r="T59" s="9"/>
    </row>
    <row r="61" spans="1:22" x14ac:dyDescent="0.2">
      <c r="B61" s="10"/>
      <c r="T61" s="10"/>
    </row>
    <row r="62" spans="1:22" x14ac:dyDescent="0.2">
      <c r="T62" s="9"/>
      <c r="U62" s="9"/>
      <c r="V62" s="9"/>
    </row>
  </sheetData>
  <sheetProtection sheet="1" objects="1" scenarios="1"/>
  <mergeCells count="13">
    <mergeCell ref="A7:D7"/>
    <mergeCell ref="B13:B14"/>
    <mergeCell ref="C13:D13"/>
    <mergeCell ref="S13:T13"/>
    <mergeCell ref="U13:V13"/>
    <mergeCell ref="C12:V12"/>
    <mergeCell ref="E13:F13"/>
    <mergeCell ref="G13:H13"/>
    <mergeCell ref="I13:J13"/>
    <mergeCell ref="K13:L13"/>
    <mergeCell ref="M13:N13"/>
    <mergeCell ref="O13:P13"/>
    <mergeCell ref="Q13:R13"/>
  </mergeCells>
  <pageMargins left="0.7" right="0.7" top="0.78740157499999996" bottom="0.78740157499999996" header="0.3" footer="0.3"/>
  <pageSetup paperSize="9" scale="28" orientation="portrait" horizontalDpi="90" verticalDpi="9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3</xdr:col>
                    <xdr:colOff>190500</xdr:colOff>
                    <xdr:row>1</xdr:row>
                    <xdr:rowOff>123825</xdr:rowOff>
                  </from>
                  <to>
                    <xdr:col>4</xdr:col>
                    <xdr:colOff>609600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3</xdr:col>
                    <xdr:colOff>190500</xdr:colOff>
                    <xdr:row>2</xdr:row>
                    <xdr:rowOff>114300</xdr:rowOff>
                  </from>
                  <to>
                    <xdr:col>5</xdr:col>
                    <xdr:colOff>276225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3</xdr:col>
                    <xdr:colOff>190500</xdr:colOff>
                    <xdr:row>3</xdr:row>
                    <xdr:rowOff>76200</xdr:rowOff>
                  </from>
                  <to>
                    <xdr:col>4</xdr:col>
                    <xdr:colOff>609600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1"/>
  <sheetViews>
    <sheetView showGridLines="0" zoomScaleNormal="100" workbookViewId="0"/>
  </sheetViews>
  <sheetFormatPr baseColWidth="10" defaultRowHeight="12.75" x14ac:dyDescent="0.2"/>
  <cols>
    <col min="1" max="1" width="29.75" style="6" customWidth="1"/>
    <col min="2" max="2" width="33.25" style="6" customWidth="1"/>
    <col min="3" max="22" width="9.5" style="6" customWidth="1"/>
    <col min="23" max="16384" width="11" style="6"/>
  </cols>
  <sheetData>
    <row r="1" spans="1:23" s="1" customFormat="1" x14ac:dyDescent="0.2"/>
    <row r="2" spans="1:23" s="1" customFormat="1" ht="15.75" x14ac:dyDescent="0.25">
      <c r="B2" s="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23" s="1" customFormat="1" ht="15.75" x14ac:dyDescent="0.25">
      <c r="B3" s="2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23" s="1" customFormat="1" ht="15.75" x14ac:dyDescent="0.25">
      <c r="B4" s="2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23" s="1" customFormat="1" x14ac:dyDescent="0.2"/>
    <row r="6" spans="1:23" s="1" customFormat="1" x14ac:dyDescent="0.2"/>
    <row r="7" spans="1:23" s="1" customFormat="1" ht="15.75" customHeight="1" x14ac:dyDescent="0.2">
      <c r="A7" s="55" t="str">
        <f>VLOOKUP("&lt;Fachbereich&gt;",Uebersetzungen!$B$3:$E$63,Uebersetzungen!$B$2+1,FALSE)</f>
        <v>Daten &amp; Statistik</v>
      </c>
      <c r="B7" s="55"/>
      <c r="C7" s="55"/>
      <c r="D7" s="55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12"/>
      <c r="T7" s="12"/>
      <c r="U7" s="12"/>
      <c r="V7" s="12"/>
      <c r="W7" s="12"/>
    </row>
    <row r="8" spans="1:23" s="1" customFormat="1" x14ac:dyDescent="0.2"/>
    <row r="9" spans="1:23" ht="18" x14ac:dyDescent="0.2">
      <c r="A9" s="3" t="str">
        <f>VLOOKUP("&lt;T2Titel&gt;",Uebersetzungen!$B$3:$E$86,Uebersetzungen!$B$2+1,FALSE)</f>
        <v>In der Ausbildung gesprochene Sprachen, Kanton Graubünden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 x14ac:dyDescent="0.2">
      <c r="A10" s="7" t="str">
        <f>VLOOKUP("&lt;T2UTitel&gt;",Uebersetzungen!$B$3:$E$86,Uebersetzungen!$B$2+1,FALSE)</f>
        <v>Ständige Wohnbevölkerung ab 15 Jahren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3" ht="13.5" thickBot="1" x14ac:dyDescent="0.25">
      <c r="A11" s="7"/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3" ht="18" x14ac:dyDescent="0.25">
      <c r="A12" s="8"/>
      <c r="B12" s="8"/>
      <c r="C12" s="61">
        <v>2024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3"/>
    </row>
    <row r="13" spans="1:23" ht="37.5" customHeight="1" x14ac:dyDescent="0.2">
      <c r="B13" s="56"/>
      <c r="C13" s="58" t="str">
        <f>VLOOKUP("&lt;SpaltenTitel_1&gt;",Uebersetzungen!$B$3:$E$63,Uebersetzungen!$B$2+1,FALSE)</f>
        <v>Total Bevölkerung</v>
      </c>
      <c r="D13" s="59"/>
      <c r="E13" s="59" t="str">
        <f>VLOOKUP("&lt;T2SpaltenTitel_2&gt;",Uebersetzungen!$B$3:$E$163,Uebersetzungen!$B$2+1,FALSE)</f>
        <v>Personen in Ausbildung</v>
      </c>
      <c r="F13" s="59"/>
      <c r="G13" s="59" t="str">
        <f>VLOOKUP("&lt;SpaltenTitel_3&gt;",Uebersetzungen!$B$3:$E$63,Uebersetzungen!$B$2+1,FALSE)</f>
        <v>Schweizerdeutsch</v>
      </c>
      <c r="H13" s="59"/>
      <c r="I13" s="59" t="str">
        <f>VLOOKUP("&lt;SpaltenTitel_4&gt;",Uebersetzungen!$B$3:$E$63,Uebersetzungen!$B$2+1,FALSE)</f>
        <v>Deutsch</v>
      </c>
      <c r="J13" s="59"/>
      <c r="K13" s="59" t="str">
        <f>VLOOKUP("&lt;SpaltenTitel_5&gt;",Uebersetzungen!$B$3:$E$63,Uebersetzungen!$B$2+1,FALSE)</f>
        <v>Französisch</v>
      </c>
      <c r="L13" s="59"/>
      <c r="M13" s="64" t="str">
        <f>VLOOKUP("&lt;SpaltenTitel_6&gt;",Uebersetzungen!$B$3:$E$63,Uebersetzungen!$B$2+1,FALSE)</f>
        <v>Tessiner/Bündner-italienischer Dialekt</v>
      </c>
      <c r="N13" s="65"/>
      <c r="O13" s="64" t="str">
        <f>VLOOKUP("&lt;SpaltenTitel_7&gt;",Uebersetzungen!$B$3:$E$63,Uebersetzungen!$B$2+1,FALSE)</f>
        <v>Italienisch</v>
      </c>
      <c r="P13" s="65"/>
      <c r="Q13" s="64" t="str">
        <f>VLOOKUP("&lt;SpaltenTitel_8&gt;",Uebersetzungen!$B$3:$E$63,Uebersetzungen!$B$2+1,FALSE)</f>
        <v>Rätoromanisch</v>
      </c>
      <c r="R13" s="65"/>
      <c r="S13" s="59" t="str">
        <f>VLOOKUP("&lt;SpaltenTitel_9&gt;",Uebersetzungen!$B$3:$E$63,Uebersetzungen!$B$2+1,FALSE)</f>
        <v>Englisch</v>
      </c>
      <c r="T13" s="59"/>
      <c r="U13" s="59" t="str">
        <f>VLOOKUP("&lt;SpaltenTitel_10&gt;",Uebersetzungen!$B$3:$E$63,Uebersetzungen!$B$2+1,FALSE)</f>
        <v>Andere Sprache/n</v>
      </c>
      <c r="V13" s="60"/>
    </row>
    <row r="14" spans="1:23" ht="39" thickBot="1" x14ac:dyDescent="0.25">
      <c r="B14" s="57"/>
      <c r="C14" s="47" t="str">
        <f>VLOOKUP("&lt;SpaltenTitel_1.1&gt;",Uebersetzungen!$B$3:$E$63,Uebersetzungen!$B$2+1,FALSE)</f>
        <v>Anzahl Personen</v>
      </c>
      <c r="D14" s="48" t="str">
        <f>VLOOKUP("&lt;SpaltenTitel_1.2&gt;",Uebersetzungen!$B$3:$E$63,Uebersetzungen!$B$2+1,FALSE)</f>
        <v>Vertrauens- intervall: 
± (in %)</v>
      </c>
      <c r="E14" s="49" t="str">
        <f>VLOOKUP("&lt;SpaltenTitel_1.1&gt;",Uebersetzungen!$B$3:$E$63,Uebersetzungen!$B$2+1,FALSE)</f>
        <v>Anzahl Personen</v>
      </c>
      <c r="F14" s="48" t="str">
        <f>VLOOKUP("&lt;SpaltenTitel_1.2&gt;",Uebersetzungen!$B$3:$E$63,Uebersetzungen!$B$2+1,FALSE)</f>
        <v>Vertrauens- intervall: 
± (in %)</v>
      </c>
      <c r="G14" s="49" t="str">
        <f>VLOOKUP("&lt;SpaltenTitel_1.1&gt;",Uebersetzungen!$B$3:$E$63,Uebersetzungen!$B$2+1,FALSE)</f>
        <v>Anzahl Personen</v>
      </c>
      <c r="H14" s="48" t="str">
        <f>VLOOKUP("&lt;SpaltenTitel_1.2&gt;",Uebersetzungen!$B$3:$E$63,Uebersetzungen!$B$2+1,FALSE)</f>
        <v>Vertrauens- intervall: 
± (in %)</v>
      </c>
      <c r="I14" s="51" t="str">
        <f>VLOOKUP("&lt;SpaltenTitel_1.1&gt;",Uebersetzungen!$B$3:$E$63,Uebersetzungen!$B$2+1,FALSE)</f>
        <v>Anzahl Personen</v>
      </c>
      <c r="J14" s="54" t="str">
        <f>VLOOKUP("&lt;SpaltenTitel_1.2&gt;",Uebersetzungen!$B$3:$E$63,Uebersetzungen!$B$2+1,FALSE)</f>
        <v>Vertrauens- intervall: 
± (in %)</v>
      </c>
      <c r="K14" s="49" t="str">
        <f>VLOOKUP("&lt;SpaltenTitel_1.1&gt;",Uebersetzungen!$B$3:$E$63,Uebersetzungen!$B$2+1,FALSE)</f>
        <v>Anzahl Personen</v>
      </c>
      <c r="L14" s="48" t="str">
        <f>VLOOKUP("&lt;SpaltenTitel_1.2&gt;",Uebersetzungen!$B$3:$E$63,Uebersetzungen!$B$2+1,FALSE)</f>
        <v>Vertrauens- intervall: 
± (in %)</v>
      </c>
      <c r="M14" s="49" t="str">
        <f>VLOOKUP("&lt;SpaltenTitel_1.1&gt;",Uebersetzungen!$B$3:$E$63,Uebersetzungen!$B$2+1,FALSE)</f>
        <v>Anzahl Personen</v>
      </c>
      <c r="N14" s="48" t="str">
        <f>VLOOKUP("&lt;SpaltenTitel_1.2&gt;",Uebersetzungen!$B$3:$E$63,Uebersetzungen!$B$2+1,FALSE)</f>
        <v>Vertrauens- intervall: 
± (in %)</v>
      </c>
      <c r="O14" s="49" t="str">
        <f>VLOOKUP("&lt;SpaltenTitel_1.1&gt;",Uebersetzungen!$B$3:$E$63,Uebersetzungen!$B$2+1,FALSE)</f>
        <v>Anzahl Personen</v>
      </c>
      <c r="P14" s="48" t="str">
        <f>VLOOKUP("&lt;SpaltenTitel_1.2&gt;",Uebersetzungen!$B$3:$E$63,Uebersetzungen!$B$2+1,FALSE)</f>
        <v>Vertrauens- intervall: 
± (in %)</v>
      </c>
      <c r="Q14" s="49" t="str">
        <f>VLOOKUP("&lt;SpaltenTitel_1.1&gt;",Uebersetzungen!$B$3:$E$63,Uebersetzungen!$B$2+1,FALSE)</f>
        <v>Anzahl Personen</v>
      </c>
      <c r="R14" s="48" t="str">
        <f>VLOOKUP("&lt;SpaltenTitel_1.2&gt;",Uebersetzungen!$B$3:$E$63,Uebersetzungen!$B$2+1,FALSE)</f>
        <v>Vertrauens- intervall: 
± (in %)</v>
      </c>
      <c r="S14" s="50" t="str">
        <f>VLOOKUP("&lt;SpaltenTitel_1.1&gt;",Uebersetzungen!$B$3:$E$63,Uebersetzungen!$B$2+1,FALSE)</f>
        <v>Anzahl Personen</v>
      </c>
      <c r="T14" s="48" t="str">
        <f>VLOOKUP("&lt;SpaltenTitel_1.2&gt;",Uebersetzungen!$B$3:$E$63,Uebersetzungen!$B$2+1,FALSE)</f>
        <v>Vertrauens- intervall: 
± (in %)</v>
      </c>
      <c r="U14" s="53" t="str">
        <f>VLOOKUP("&lt;SpaltenTitel_1.1&gt;",Uebersetzungen!$B$3:$E$63,Uebersetzungen!$B$2+1,FALSE)</f>
        <v>Anzahl Personen</v>
      </c>
      <c r="V14" s="52" t="str">
        <f>VLOOKUP("&lt;SpaltenTitel_1.2&gt;",Uebersetzungen!$B$3:$E$63,Uebersetzungen!$B$2+1,FALSE)</f>
        <v>Vertrauens- intervall: 
± (in %)</v>
      </c>
    </row>
    <row r="15" spans="1:23" ht="14.25" customHeight="1" x14ac:dyDescent="0.2">
      <c r="A15" s="29" t="str">
        <f>VLOOKUP("&lt;Zeilentitel_1&gt;",Uebersetzungen!$B$3:$E$83,Uebersetzungen!$B$2+1,FALSE)</f>
        <v>Total</v>
      </c>
      <c r="B15" s="42"/>
      <c r="C15" s="138">
        <v>175976.99999999584</v>
      </c>
      <c r="D15" s="93">
        <v>0.3967578846481099</v>
      </c>
      <c r="E15" s="150">
        <v>15296.171364776401</v>
      </c>
      <c r="F15" s="81">
        <v>9.2102388913259432</v>
      </c>
      <c r="G15" s="150">
        <v>12431.665451975345</v>
      </c>
      <c r="H15" s="93">
        <v>10.16946296537882</v>
      </c>
      <c r="I15" s="139">
        <v>7417.8655476439089</v>
      </c>
      <c r="J15" s="93">
        <v>13.650375255994323</v>
      </c>
      <c r="K15" s="155">
        <v>216.89228448633662</v>
      </c>
      <c r="L15" s="140">
        <v>90.19749976462667</v>
      </c>
      <c r="M15" s="155">
        <v>456.48854111545739</v>
      </c>
      <c r="N15" s="157">
        <v>53.766795714211689</v>
      </c>
      <c r="O15" s="139">
        <v>2569.0131060849121</v>
      </c>
      <c r="P15" s="93">
        <v>23.321389300629576</v>
      </c>
      <c r="Q15" s="158">
        <v>1534.9936706720721</v>
      </c>
      <c r="R15" s="140">
        <v>29.109640954281627</v>
      </c>
      <c r="S15" s="150">
        <v>3627.968270339074</v>
      </c>
      <c r="T15" s="93">
        <v>20.120768177968671</v>
      </c>
      <c r="U15" s="155">
        <v>252.84084100253355</v>
      </c>
      <c r="V15" s="160">
        <v>80.33297062424721</v>
      </c>
    </row>
    <row r="16" spans="1:23" x14ac:dyDescent="0.2">
      <c r="A16" s="30" t="str">
        <f>VLOOKUP("&lt;Zeilentitel_2&gt;",Uebersetzungen!$B$3:$E$83,Uebersetzungen!$B$2+1,FALSE)</f>
        <v>Geschlecht</v>
      </c>
      <c r="B16" s="43" t="str">
        <f>VLOOKUP("&lt;Zeilentitel_2.1&gt;",Uebersetzungen!$B$3:$E$83,Uebersetzungen!$B$2+1,FALSE)</f>
        <v>Männer</v>
      </c>
      <c r="C16" s="162">
        <v>88469.999999997206</v>
      </c>
      <c r="D16" s="118">
        <v>2.8767215425128136</v>
      </c>
      <c r="E16" s="163">
        <v>7769.1202931440303</v>
      </c>
      <c r="F16" s="125">
        <v>13.481174953926605</v>
      </c>
      <c r="G16" s="163">
        <v>6399.2405187098284</v>
      </c>
      <c r="H16" s="118">
        <v>14.704128955369692</v>
      </c>
      <c r="I16" s="164">
        <v>3540.6203704734012</v>
      </c>
      <c r="J16" s="118">
        <v>20.539858376185173</v>
      </c>
      <c r="K16" s="165" t="s">
        <v>279</v>
      </c>
      <c r="L16" s="125" t="s">
        <v>279</v>
      </c>
      <c r="M16" s="166">
        <v>238.65961181412683</v>
      </c>
      <c r="N16" s="137">
        <v>73.12170241838804</v>
      </c>
      <c r="O16" s="167">
        <v>1274.4282483010923</v>
      </c>
      <c r="P16" s="137">
        <v>33.78410820550117</v>
      </c>
      <c r="Q16" s="166">
        <v>623.0412593777894</v>
      </c>
      <c r="R16" s="124">
        <v>45.583184901491606</v>
      </c>
      <c r="S16" s="163">
        <v>2284.9458149935022</v>
      </c>
      <c r="T16" s="118">
        <v>26.062862583837141</v>
      </c>
      <c r="U16" s="165" t="s">
        <v>279</v>
      </c>
      <c r="V16" s="126" t="s">
        <v>279</v>
      </c>
    </row>
    <row r="17" spans="1:22" x14ac:dyDescent="0.2">
      <c r="A17" s="31"/>
      <c r="B17" s="44" t="str">
        <f>VLOOKUP("&lt;Zeilentitel_2.2&gt;",Uebersetzungen!$B$3:$E$83,Uebersetzungen!$B$2+1,FALSE)</f>
        <v>Frauen</v>
      </c>
      <c r="C17" s="146">
        <v>87506.999999998632</v>
      </c>
      <c r="D17" s="128">
        <v>2.7377556760568122</v>
      </c>
      <c r="E17" s="168">
        <v>7527.0510716323706</v>
      </c>
      <c r="F17" s="76">
        <v>13.127537992104298</v>
      </c>
      <c r="G17" s="168">
        <v>6032.4249332655163</v>
      </c>
      <c r="H17" s="128">
        <v>14.55936640915842</v>
      </c>
      <c r="I17" s="147">
        <v>3877.2451771705082</v>
      </c>
      <c r="J17" s="128">
        <v>18.548626799417924</v>
      </c>
      <c r="K17" s="169" t="s">
        <v>279</v>
      </c>
      <c r="L17" s="76" t="s">
        <v>279</v>
      </c>
      <c r="M17" s="170">
        <v>217.82892930133056</v>
      </c>
      <c r="N17" s="132">
        <v>79.334849980263172</v>
      </c>
      <c r="O17" s="78">
        <v>1294.5848577838199</v>
      </c>
      <c r="P17" s="132">
        <v>32.413292911392105</v>
      </c>
      <c r="Q17" s="170">
        <v>911.95241129428268</v>
      </c>
      <c r="R17" s="79">
        <v>37.963663901493987</v>
      </c>
      <c r="S17" s="131">
        <v>1343.0224553455719</v>
      </c>
      <c r="T17" s="132">
        <v>31.840757569690936</v>
      </c>
      <c r="U17" s="169" t="s">
        <v>279</v>
      </c>
      <c r="V17" s="133" t="s">
        <v>279</v>
      </c>
    </row>
    <row r="18" spans="1:22" x14ac:dyDescent="0.2">
      <c r="A18" s="32" t="str">
        <f>VLOOKUP("&lt;Zeilentitel_3&gt;",Uebersetzungen!$B$3:$E$83,Uebersetzungen!$B$2+1,FALSE)</f>
        <v>Alter</v>
      </c>
      <c r="B18" s="25" t="str">
        <f>VLOOKUP("&lt;Zeilentitel_3.1&gt;",Uebersetzungen!$B$3:$E$83,Uebersetzungen!$B$2+1,FALSE)</f>
        <v>15-24</v>
      </c>
      <c r="C18" s="141">
        <v>18707.999999999502</v>
      </c>
      <c r="D18" s="95">
        <v>8.3015949454829325</v>
      </c>
      <c r="E18" s="151">
        <v>11014.617725172369</v>
      </c>
      <c r="F18" s="67">
        <v>10.914118507732093</v>
      </c>
      <c r="G18" s="151">
        <v>9072.7698841324</v>
      </c>
      <c r="H18" s="95">
        <v>11.928883301541518</v>
      </c>
      <c r="I18" s="142">
        <v>5299.7375348395144</v>
      </c>
      <c r="J18" s="95">
        <v>16.081701508332397</v>
      </c>
      <c r="K18" s="152">
        <v>216.89228448633662</v>
      </c>
      <c r="L18" s="69">
        <v>90.19749976462667</v>
      </c>
      <c r="M18" s="152">
        <v>337.08170505655858</v>
      </c>
      <c r="N18" s="97">
        <v>61.13791261903436</v>
      </c>
      <c r="O18" s="142">
        <v>1968.6467921546159</v>
      </c>
      <c r="P18" s="95">
        <v>26.688489899742823</v>
      </c>
      <c r="Q18" s="105">
        <v>1169.8511414937464</v>
      </c>
      <c r="R18" s="69">
        <v>33.148532800722016</v>
      </c>
      <c r="S18" s="151">
        <v>2600.353288070402</v>
      </c>
      <c r="T18" s="95">
        <v>23.814063468903907</v>
      </c>
      <c r="U18" s="153" t="s">
        <v>279</v>
      </c>
      <c r="V18" s="113" t="s">
        <v>279</v>
      </c>
    </row>
    <row r="19" spans="1:22" x14ac:dyDescent="0.2">
      <c r="A19" s="33"/>
      <c r="B19" s="45" t="str">
        <f>VLOOKUP("&lt;Zeilentitel_3.2&gt;",Uebersetzungen!$B$3:$E$83,Uebersetzungen!$B$2+1,FALSE)</f>
        <v>25-44</v>
      </c>
      <c r="C19" s="141">
        <v>51762.999999998538</v>
      </c>
      <c r="D19" s="95">
        <v>4.5313758844237304</v>
      </c>
      <c r="E19" s="151">
        <v>3613.6111840827452</v>
      </c>
      <c r="F19" s="67">
        <v>20.08202827255306</v>
      </c>
      <c r="G19" s="151">
        <v>2898.9144902085559</v>
      </c>
      <c r="H19" s="95">
        <v>22.192363782568592</v>
      </c>
      <c r="I19" s="68">
        <v>1821.9493152781863</v>
      </c>
      <c r="J19" s="97">
        <v>28.802194372043203</v>
      </c>
      <c r="K19" s="104" t="s">
        <v>279</v>
      </c>
      <c r="L19" s="67" t="s">
        <v>279</v>
      </c>
      <c r="M19" s="153" t="s">
        <v>279</v>
      </c>
      <c r="N19" s="95" t="s">
        <v>279</v>
      </c>
      <c r="O19" s="144">
        <v>532.15098003273067</v>
      </c>
      <c r="P19" s="97">
        <v>51.826595808252648</v>
      </c>
      <c r="Q19" s="152">
        <v>365.14252917832556</v>
      </c>
      <c r="R19" s="69">
        <v>61.192485085717244</v>
      </c>
      <c r="S19" s="152">
        <v>928.48103613020362</v>
      </c>
      <c r="T19" s="97">
        <v>40.491047561551909</v>
      </c>
      <c r="U19" s="153" t="s">
        <v>279</v>
      </c>
      <c r="V19" s="113" t="s">
        <v>279</v>
      </c>
    </row>
    <row r="20" spans="1:22" x14ac:dyDescent="0.2">
      <c r="A20" s="34"/>
      <c r="B20" s="45" t="str">
        <f>VLOOKUP("&lt;Zeilentitel_3.3&gt;",Uebersetzungen!$B$3:$E$83,Uebersetzungen!$B$2+1,FALSE)</f>
        <v>45-64</v>
      </c>
      <c r="C20" s="141">
        <v>59050.999999998596</v>
      </c>
      <c r="D20" s="95">
        <v>3.886206988336121</v>
      </c>
      <c r="E20" s="152">
        <v>502.17102176437641</v>
      </c>
      <c r="F20" s="69">
        <v>51.809024298094634</v>
      </c>
      <c r="G20" s="152">
        <v>359.26577928910899</v>
      </c>
      <c r="H20" s="97">
        <v>61.423305060756952</v>
      </c>
      <c r="I20" s="144">
        <v>262.66067628457404</v>
      </c>
      <c r="J20" s="97">
        <v>73.395950390089496</v>
      </c>
      <c r="K20" s="104" t="s">
        <v>279</v>
      </c>
      <c r="L20" s="67" t="s">
        <v>279</v>
      </c>
      <c r="M20" s="104" t="s">
        <v>279</v>
      </c>
      <c r="N20" s="95" t="s">
        <v>279</v>
      </c>
      <c r="O20" s="143" t="s">
        <v>279</v>
      </c>
      <c r="P20" s="95" t="s">
        <v>279</v>
      </c>
      <c r="Q20" s="104" t="s">
        <v>279</v>
      </c>
      <c r="R20" s="67" t="s">
        <v>279</v>
      </c>
      <c r="S20" s="153" t="s">
        <v>279</v>
      </c>
      <c r="T20" s="95" t="s">
        <v>279</v>
      </c>
      <c r="U20" s="104" t="s">
        <v>279</v>
      </c>
      <c r="V20" s="113" t="s">
        <v>279</v>
      </c>
    </row>
    <row r="21" spans="1:22" x14ac:dyDescent="0.2">
      <c r="A21" s="34"/>
      <c r="B21" s="45" t="str">
        <f>VLOOKUP("&lt;Zeilentitel_3.4&gt;",Uebersetzungen!$B$3:$E$83,Uebersetzungen!$B$2+1,FALSE)</f>
        <v>65 und älter</v>
      </c>
      <c r="C21" s="141">
        <v>46454.999999998785</v>
      </c>
      <c r="D21" s="95">
        <v>4.40915179190395</v>
      </c>
      <c r="E21" s="152">
        <v>165.77143375690886</v>
      </c>
      <c r="F21" s="69">
        <v>86.412037354917999</v>
      </c>
      <c r="G21" s="153" t="s">
        <v>279</v>
      </c>
      <c r="H21" s="95" t="s">
        <v>279</v>
      </c>
      <c r="I21" s="143" t="s">
        <v>279</v>
      </c>
      <c r="J21" s="95" t="s">
        <v>279</v>
      </c>
      <c r="K21" s="104" t="s">
        <v>279</v>
      </c>
      <c r="L21" s="67" t="s">
        <v>279</v>
      </c>
      <c r="M21" s="104" t="s">
        <v>279</v>
      </c>
      <c r="N21" s="95" t="s">
        <v>279</v>
      </c>
      <c r="O21" s="66" t="s">
        <v>279</v>
      </c>
      <c r="P21" s="95" t="s">
        <v>279</v>
      </c>
      <c r="Q21" s="104" t="s">
        <v>279</v>
      </c>
      <c r="R21" s="67" t="s">
        <v>279</v>
      </c>
      <c r="S21" s="153" t="s">
        <v>279</v>
      </c>
      <c r="T21" s="95" t="s">
        <v>279</v>
      </c>
      <c r="U21" s="104" t="s">
        <v>279</v>
      </c>
      <c r="V21" s="113" t="s">
        <v>279</v>
      </c>
    </row>
    <row r="22" spans="1:22" x14ac:dyDescent="0.2">
      <c r="A22" s="30" t="str">
        <f>VLOOKUP("&lt;Zeilentitel_4&gt;",Uebersetzungen!$B$3:$E$83,Uebersetzungen!$B$2+1,FALSE)</f>
        <v>Staatsangehörigkeit</v>
      </c>
      <c r="B22" s="43" t="str">
        <f>VLOOKUP("&lt;Zeilentitel_4.1&gt;",Uebersetzungen!$B$3:$E$83,Uebersetzungen!$B$2+1,FALSE)</f>
        <v>Schweiz</v>
      </c>
      <c r="C22" s="162">
        <v>139479.99999999587</v>
      </c>
      <c r="D22" s="118">
        <v>1.3160876423396077</v>
      </c>
      <c r="E22" s="163">
        <v>12656.811706775477</v>
      </c>
      <c r="F22" s="125">
        <v>9.860115564727618</v>
      </c>
      <c r="G22" s="163">
        <v>11019.739355901691</v>
      </c>
      <c r="H22" s="118">
        <v>10.606924722826735</v>
      </c>
      <c r="I22" s="164">
        <v>5739.1824251217377</v>
      </c>
      <c r="J22" s="118">
        <v>14.961065261176824</v>
      </c>
      <c r="K22" s="165" t="s">
        <v>279</v>
      </c>
      <c r="L22" s="125" t="s">
        <v>279</v>
      </c>
      <c r="M22" s="166">
        <v>456.48854111545745</v>
      </c>
      <c r="N22" s="137">
        <v>53.766795714211696</v>
      </c>
      <c r="O22" s="164">
        <v>1869.8471033553149</v>
      </c>
      <c r="P22" s="118">
        <v>26.305245085208313</v>
      </c>
      <c r="Q22" s="123">
        <v>1451.4324004296882</v>
      </c>
      <c r="R22" s="124">
        <v>29.771130427722849</v>
      </c>
      <c r="S22" s="163">
        <v>2653.726904069491</v>
      </c>
      <c r="T22" s="118">
        <v>22.584780605050412</v>
      </c>
      <c r="U22" s="165" t="s">
        <v>279</v>
      </c>
      <c r="V22" s="126" t="s">
        <v>279</v>
      </c>
    </row>
    <row r="23" spans="1:22" x14ac:dyDescent="0.2">
      <c r="A23" s="32"/>
      <c r="B23" s="45" t="str">
        <f>VLOOKUP("&lt;Zeilentitel_4.2&gt;",Uebersetzungen!$B$3:$E$83,Uebersetzungen!$B$2+1,FALSE)</f>
        <v>EU und EFTA</v>
      </c>
      <c r="C23" s="141">
        <v>28464.778974147062</v>
      </c>
      <c r="D23" s="95">
        <v>6.8848591999866882</v>
      </c>
      <c r="E23" s="105">
        <v>2075.5734806202368</v>
      </c>
      <c r="F23" s="69">
        <v>29.203511728843242</v>
      </c>
      <c r="G23" s="105">
        <v>1196.5004330071886</v>
      </c>
      <c r="H23" s="97">
        <v>38.41802879408899</v>
      </c>
      <c r="I23" s="68">
        <v>1232.8027158494478</v>
      </c>
      <c r="J23" s="97">
        <v>37.830620220277396</v>
      </c>
      <c r="K23" s="153" t="s">
        <v>279</v>
      </c>
      <c r="L23" s="67" t="s">
        <v>279</v>
      </c>
      <c r="M23" s="104" t="s">
        <v>279</v>
      </c>
      <c r="N23" s="95" t="s">
        <v>279</v>
      </c>
      <c r="O23" s="144">
        <v>615.33495969572448</v>
      </c>
      <c r="P23" s="97">
        <v>52.748444503340387</v>
      </c>
      <c r="Q23" s="153" t="s">
        <v>279</v>
      </c>
      <c r="R23" s="67" t="s">
        <v>279</v>
      </c>
      <c r="S23" s="152">
        <v>891.6871447125252</v>
      </c>
      <c r="T23" s="97">
        <v>45.476427038401354</v>
      </c>
      <c r="U23" s="153" t="s">
        <v>279</v>
      </c>
      <c r="V23" s="113" t="s">
        <v>279</v>
      </c>
    </row>
    <row r="24" spans="1:22" x14ac:dyDescent="0.2">
      <c r="A24" s="32"/>
      <c r="B24" s="45" t="str">
        <f>VLOOKUP("&lt;Zeilentitel_4.3&gt;",Uebersetzungen!$B$3:$E$83,Uebersetzungen!$B$2+1,FALSE)</f>
        <v>Anderer europäischer Staat</v>
      </c>
      <c r="C24" s="141">
        <v>4405.496763860715</v>
      </c>
      <c r="D24" s="95">
        <v>19.787681889494554</v>
      </c>
      <c r="E24" s="153" t="s">
        <v>279</v>
      </c>
      <c r="F24" s="67" t="s">
        <v>279</v>
      </c>
      <c r="G24" s="104" t="s">
        <v>279</v>
      </c>
      <c r="H24" s="95" t="s">
        <v>279</v>
      </c>
      <c r="I24" s="143" t="s">
        <v>279</v>
      </c>
      <c r="J24" s="95" t="s">
        <v>279</v>
      </c>
      <c r="K24" s="104" t="s">
        <v>279</v>
      </c>
      <c r="L24" s="67" t="s">
        <v>279</v>
      </c>
      <c r="M24" s="104" t="s">
        <v>279</v>
      </c>
      <c r="N24" s="95" t="s">
        <v>279</v>
      </c>
      <c r="O24" s="143" t="s">
        <v>279</v>
      </c>
      <c r="P24" s="95" t="s">
        <v>279</v>
      </c>
      <c r="Q24" s="104" t="s">
        <v>279</v>
      </c>
      <c r="R24" s="67" t="s">
        <v>279</v>
      </c>
      <c r="S24" s="104" t="s">
        <v>279</v>
      </c>
      <c r="T24" s="95" t="s">
        <v>279</v>
      </c>
      <c r="U24" s="153" t="s">
        <v>279</v>
      </c>
      <c r="V24" s="113" t="s">
        <v>279</v>
      </c>
    </row>
    <row r="25" spans="1:22" x14ac:dyDescent="0.2">
      <c r="A25" s="32"/>
      <c r="B25" s="45" t="str">
        <f>VLOOKUP("&lt;Zeilentitel_4.4&gt;",Uebersetzungen!$B$3:$E$83,Uebersetzungen!$B$2+1,FALSE)</f>
        <v>Andere Staaten</v>
      </c>
      <c r="C25" s="141">
        <v>3626.7242619924309</v>
      </c>
      <c r="D25" s="95">
        <v>21.364364793245247</v>
      </c>
      <c r="E25" s="152">
        <v>429.06698341303468</v>
      </c>
      <c r="F25" s="69">
        <v>69.664911859982212</v>
      </c>
      <c r="G25" s="153" t="s">
        <v>279</v>
      </c>
      <c r="H25" s="95" t="s">
        <v>279</v>
      </c>
      <c r="I25" s="144">
        <v>362.12586531916276</v>
      </c>
      <c r="J25" s="97">
        <v>74.432519199389262</v>
      </c>
      <c r="K25" s="104" t="s">
        <v>279</v>
      </c>
      <c r="L25" s="67" t="s">
        <v>279</v>
      </c>
      <c r="M25" s="104" t="s">
        <v>279</v>
      </c>
      <c r="N25" s="95" t="s">
        <v>279</v>
      </c>
      <c r="O25" s="143" t="s">
        <v>279</v>
      </c>
      <c r="P25" s="95" t="s">
        <v>279</v>
      </c>
      <c r="Q25" s="104" t="s">
        <v>279</v>
      </c>
      <c r="R25" s="67" t="s">
        <v>279</v>
      </c>
      <c r="S25" s="153" t="s">
        <v>279</v>
      </c>
      <c r="T25" s="95" t="s">
        <v>279</v>
      </c>
      <c r="U25" s="104" t="s">
        <v>279</v>
      </c>
      <c r="V25" s="113" t="s">
        <v>279</v>
      </c>
    </row>
    <row r="26" spans="1:22" x14ac:dyDescent="0.2">
      <c r="A26" s="31"/>
      <c r="B26" s="45" t="str">
        <f>VLOOKUP("&lt;Zeilentitel_4.5&gt;",Uebersetzungen!$B$3:$E$83,Uebersetzungen!$B$2+1,FALSE)</f>
        <v>Staatsangehörigkeit unbekannt</v>
      </c>
      <c r="C26" s="127" t="s">
        <v>279</v>
      </c>
      <c r="D26" s="128" t="s">
        <v>279</v>
      </c>
      <c r="E26" s="130" t="s">
        <v>279</v>
      </c>
      <c r="F26" s="76" t="s">
        <v>279</v>
      </c>
      <c r="G26" s="130" t="s">
        <v>279</v>
      </c>
      <c r="H26" s="128" t="s">
        <v>279</v>
      </c>
      <c r="I26" s="75" t="s">
        <v>279</v>
      </c>
      <c r="J26" s="128" t="s">
        <v>279</v>
      </c>
      <c r="K26" s="130" t="s">
        <v>279</v>
      </c>
      <c r="L26" s="76" t="s">
        <v>279</v>
      </c>
      <c r="M26" s="130" t="s">
        <v>279</v>
      </c>
      <c r="N26" s="128" t="s">
        <v>279</v>
      </c>
      <c r="O26" s="75" t="s">
        <v>279</v>
      </c>
      <c r="P26" s="128" t="s">
        <v>279</v>
      </c>
      <c r="Q26" s="130" t="s">
        <v>279</v>
      </c>
      <c r="R26" s="76" t="s">
        <v>279</v>
      </c>
      <c r="S26" s="130" t="s">
        <v>279</v>
      </c>
      <c r="T26" s="128" t="s">
        <v>279</v>
      </c>
      <c r="U26" s="130" t="s">
        <v>279</v>
      </c>
      <c r="V26" s="133" t="s">
        <v>279</v>
      </c>
    </row>
    <row r="27" spans="1:22" x14ac:dyDescent="0.2">
      <c r="A27" s="30" t="str">
        <f>VLOOKUP("&lt;Zeilentitel_5&gt;",Uebersetzungen!$B$3:$E$83,Uebersetzungen!$B$2+1,FALSE)</f>
        <v>Migrationsstatus</v>
      </c>
      <c r="B27" s="43" t="str">
        <f>VLOOKUP("&lt;Zeilentitel_5.1&gt;",Uebersetzungen!$B$3:$E$83,Uebersetzungen!$B$2+1,FALSE)</f>
        <v>Schweizer/innen ohne Migrationshintergrund</v>
      </c>
      <c r="C27" s="141">
        <v>122172.64107475645</v>
      </c>
      <c r="D27" s="95">
        <v>1.7493769218530069</v>
      </c>
      <c r="E27" s="151">
        <v>11600.288552442855</v>
      </c>
      <c r="F27" s="67">
        <v>10.331750590885727</v>
      </c>
      <c r="G27" s="151">
        <v>10137.218897777848</v>
      </c>
      <c r="H27" s="95">
        <v>11.084369373367059</v>
      </c>
      <c r="I27" s="142">
        <v>5028.8302659221408</v>
      </c>
      <c r="J27" s="95">
        <v>16.010979213618086</v>
      </c>
      <c r="K27" s="153" t="s">
        <v>279</v>
      </c>
      <c r="L27" s="67" t="s">
        <v>279</v>
      </c>
      <c r="M27" s="152">
        <v>456.48854111545745</v>
      </c>
      <c r="N27" s="97">
        <v>53.766795714211696</v>
      </c>
      <c r="O27" s="142">
        <v>1764.8811927073878</v>
      </c>
      <c r="P27" s="95">
        <v>27.083667130611591</v>
      </c>
      <c r="Q27" s="105">
        <v>1419.6631364867742</v>
      </c>
      <c r="R27" s="69">
        <v>30.134248761169079</v>
      </c>
      <c r="S27" s="151">
        <v>2544.4301777120072</v>
      </c>
      <c r="T27" s="95">
        <v>23.075029822951208</v>
      </c>
      <c r="U27" s="153" t="s">
        <v>279</v>
      </c>
      <c r="V27" s="113" t="s">
        <v>279</v>
      </c>
    </row>
    <row r="28" spans="1:22" x14ac:dyDescent="0.2">
      <c r="A28" s="32"/>
      <c r="B28" s="45" t="str">
        <f>VLOOKUP("&lt;Zeilentitel_5.2&gt;",Uebersetzungen!$B$3:$E$83,Uebersetzungen!$B$2+1,FALSE)</f>
        <v>Schweizer/innen mit Migrationshintergrund</v>
      </c>
      <c r="C28" s="141">
        <v>16792.664144571507</v>
      </c>
      <c r="D28" s="95">
        <v>8.3186880237247642</v>
      </c>
      <c r="E28" s="105">
        <v>1056.5231543326217</v>
      </c>
      <c r="F28" s="69">
        <v>35.361679315413753</v>
      </c>
      <c r="G28" s="152">
        <v>882.52045812384245</v>
      </c>
      <c r="H28" s="97">
        <v>38.790923538392242</v>
      </c>
      <c r="I28" s="144">
        <v>710.35215919959774</v>
      </c>
      <c r="J28" s="97">
        <v>43.250098500889266</v>
      </c>
      <c r="K28" s="104" t="s">
        <v>279</v>
      </c>
      <c r="L28" s="67" t="s">
        <v>279</v>
      </c>
      <c r="M28" s="104" t="s">
        <v>279</v>
      </c>
      <c r="N28" s="95" t="s">
        <v>279</v>
      </c>
      <c r="O28" s="143" t="s">
        <v>279</v>
      </c>
      <c r="P28" s="95" t="s">
        <v>279</v>
      </c>
      <c r="Q28" s="153" t="s">
        <v>279</v>
      </c>
      <c r="R28" s="67" t="s">
        <v>279</v>
      </c>
      <c r="S28" s="153" t="s">
        <v>279</v>
      </c>
      <c r="T28" s="95" t="s">
        <v>279</v>
      </c>
      <c r="U28" s="104" t="s">
        <v>279</v>
      </c>
      <c r="V28" s="113" t="s">
        <v>279</v>
      </c>
    </row>
    <row r="29" spans="1:22" x14ac:dyDescent="0.2">
      <c r="A29" s="32"/>
      <c r="B29" s="45" t="str">
        <f>VLOOKUP("&lt;Zeilentitel_5.3&gt;",Uebersetzungen!$B$3:$E$83,Uebersetzungen!$B$2+1,FALSE)</f>
        <v>Ausländer/innen der ersten Generation</v>
      </c>
      <c r="C29" s="141">
        <v>34475.342092880506</v>
      </c>
      <c r="D29" s="95">
        <v>6.230446548843374</v>
      </c>
      <c r="E29" s="105">
        <v>1966.4708329071948</v>
      </c>
      <c r="F29" s="69">
        <v>30.756962730869866</v>
      </c>
      <c r="G29" s="152">
        <v>975.93313402175738</v>
      </c>
      <c r="H29" s="97">
        <v>44.015519634929092</v>
      </c>
      <c r="I29" s="68">
        <v>1291.738288259445</v>
      </c>
      <c r="J29" s="97">
        <v>37.96630391801866</v>
      </c>
      <c r="K29" s="153" t="s">
        <v>279</v>
      </c>
      <c r="L29" s="67" t="s">
        <v>279</v>
      </c>
      <c r="M29" s="104" t="s">
        <v>279</v>
      </c>
      <c r="N29" s="95" t="s">
        <v>279</v>
      </c>
      <c r="O29" s="144">
        <v>477.29579425394064</v>
      </c>
      <c r="P29" s="97">
        <v>59.707179256709708</v>
      </c>
      <c r="Q29" s="104" t="s">
        <v>279</v>
      </c>
      <c r="R29" s="67" t="s">
        <v>279</v>
      </c>
      <c r="S29" s="152">
        <v>737.65330592926534</v>
      </c>
      <c r="T29" s="97">
        <v>49.817082262595854</v>
      </c>
      <c r="U29" s="153" t="s">
        <v>279</v>
      </c>
      <c r="V29" s="113" t="s">
        <v>279</v>
      </c>
    </row>
    <row r="30" spans="1:22" ht="25.5" x14ac:dyDescent="0.2">
      <c r="A30" s="32"/>
      <c r="B30" s="45" t="str">
        <f>VLOOKUP("&lt;Zeilentitel_5.4&gt;",Uebersetzungen!$B$3:$E$83,Uebersetzungen!$B$2+1,FALSE)</f>
        <v>Ausländer/innen der zweiten und höheren Generation</v>
      </c>
      <c r="C30" s="85">
        <v>2021.6579071196713</v>
      </c>
      <c r="D30" s="97">
        <v>28.076510886061921</v>
      </c>
      <c r="E30" s="152">
        <v>672.88882509372752</v>
      </c>
      <c r="F30" s="69">
        <v>50.202450947621195</v>
      </c>
      <c r="G30" s="152">
        <v>435.99296205189341</v>
      </c>
      <c r="H30" s="97">
        <v>61.440468893503642</v>
      </c>
      <c r="I30" s="144">
        <v>386.94483426272677</v>
      </c>
      <c r="J30" s="97">
        <v>64.794611350015856</v>
      </c>
      <c r="K30" s="104" t="s">
        <v>279</v>
      </c>
      <c r="L30" s="67" t="s">
        <v>279</v>
      </c>
      <c r="M30" s="104" t="s">
        <v>279</v>
      </c>
      <c r="N30" s="95" t="s">
        <v>279</v>
      </c>
      <c r="O30" s="144">
        <v>221.87020847565736</v>
      </c>
      <c r="P30" s="97">
        <v>87.802314213813688</v>
      </c>
      <c r="Q30" s="153" t="s">
        <v>279</v>
      </c>
      <c r="R30" s="67" t="s">
        <v>279</v>
      </c>
      <c r="S30" s="152">
        <v>236.58806034031809</v>
      </c>
      <c r="T30" s="97">
        <v>87.442695019360656</v>
      </c>
      <c r="U30" s="153" t="s">
        <v>279</v>
      </c>
      <c r="V30" s="113" t="s">
        <v>279</v>
      </c>
    </row>
    <row r="31" spans="1:22" x14ac:dyDescent="0.2">
      <c r="A31" s="31"/>
      <c r="B31" s="45" t="str">
        <f>VLOOKUP("&lt;Zeilentitel_5.5&gt;",Uebersetzungen!$B$3:$E$83,Uebersetzungen!$B$2+1,FALSE)</f>
        <v>Migrationshintergrund unbekannt</v>
      </c>
      <c r="C31" s="145">
        <v>514.69478066784814</v>
      </c>
      <c r="D31" s="97">
        <v>50.328158876178726</v>
      </c>
      <c r="E31" s="104" t="s">
        <v>279</v>
      </c>
      <c r="F31" s="67" t="s">
        <v>279</v>
      </c>
      <c r="G31" s="104" t="s">
        <v>279</v>
      </c>
      <c r="H31" s="95" t="s">
        <v>279</v>
      </c>
      <c r="I31" s="66" t="s">
        <v>279</v>
      </c>
      <c r="J31" s="95" t="s">
        <v>279</v>
      </c>
      <c r="K31" s="104" t="s">
        <v>279</v>
      </c>
      <c r="L31" s="67" t="s">
        <v>279</v>
      </c>
      <c r="M31" s="104" t="s">
        <v>279</v>
      </c>
      <c r="N31" s="95" t="s">
        <v>279</v>
      </c>
      <c r="O31" s="66" t="s">
        <v>279</v>
      </c>
      <c r="P31" s="95" t="s">
        <v>279</v>
      </c>
      <c r="Q31" s="104" t="s">
        <v>279</v>
      </c>
      <c r="R31" s="67" t="s">
        <v>279</v>
      </c>
      <c r="S31" s="104" t="s">
        <v>279</v>
      </c>
      <c r="T31" s="95" t="s">
        <v>279</v>
      </c>
      <c r="U31" s="104" t="s">
        <v>279</v>
      </c>
      <c r="V31" s="113" t="s">
        <v>279</v>
      </c>
    </row>
    <row r="32" spans="1:22" x14ac:dyDescent="0.2">
      <c r="A32" s="30" t="str">
        <f>VLOOKUP("&lt;Zeilentitel_6&gt;",Uebersetzungen!$B$3:$E$83,Uebersetzungen!$B$2+1,FALSE)</f>
        <v>Arbeitsmarktstatus</v>
      </c>
      <c r="B32" s="43" t="str">
        <f>VLOOKUP("&lt;T2Zeilentitel_6.1&gt;",Uebersetzungen!$B$3:$E$83,Uebersetzungen!$B$2+1,FALSE)</f>
        <v>Erwerbstätige</v>
      </c>
      <c r="C32" s="162">
        <v>110190.32702338927</v>
      </c>
      <c r="D32" s="118">
        <v>2.2402588065625362</v>
      </c>
      <c r="E32" s="163">
        <v>7450.7144196900199</v>
      </c>
      <c r="F32" s="125">
        <v>13.477641026684564</v>
      </c>
      <c r="G32" s="163">
        <v>6505.071595233655</v>
      </c>
      <c r="H32" s="118">
        <v>14.372162415596158</v>
      </c>
      <c r="I32" s="164">
        <v>3420.471621994825</v>
      </c>
      <c r="J32" s="118">
        <v>20.489192682505987</v>
      </c>
      <c r="K32" s="165" t="s">
        <v>279</v>
      </c>
      <c r="L32" s="125" t="s">
        <v>279</v>
      </c>
      <c r="M32" s="165" t="s">
        <v>279</v>
      </c>
      <c r="N32" s="118" t="s">
        <v>279</v>
      </c>
      <c r="O32" s="171">
        <v>873.3674365692483</v>
      </c>
      <c r="P32" s="137">
        <v>39.770081386639994</v>
      </c>
      <c r="Q32" s="166">
        <v>608.85761253862768</v>
      </c>
      <c r="R32" s="124">
        <v>46.90246483797317</v>
      </c>
      <c r="S32" s="123">
        <v>1678.6532917834033</v>
      </c>
      <c r="T32" s="137">
        <v>29.882811227601074</v>
      </c>
      <c r="U32" s="166">
        <v>216.70443625691613</v>
      </c>
      <c r="V32" s="172">
        <v>88.030357504968165</v>
      </c>
    </row>
    <row r="33" spans="1:22" x14ac:dyDescent="0.2">
      <c r="A33" s="32"/>
      <c r="B33" s="45" t="str">
        <f>VLOOKUP("&lt;T2Zeilentitel_6.2&gt;",Uebersetzungen!$B$3:$E$83,Uebersetzungen!$B$2+1,FALSE)</f>
        <v>Erwerbslose</v>
      </c>
      <c r="C33" s="141">
        <v>2284.4069618137946</v>
      </c>
      <c r="D33" s="95">
        <v>25.177421180026492</v>
      </c>
      <c r="E33" s="152">
        <v>207.50142339945029</v>
      </c>
      <c r="F33" s="69">
        <v>87.108530090613328</v>
      </c>
      <c r="G33" s="153" t="s">
        <v>279</v>
      </c>
      <c r="H33" s="95" t="s">
        <v>279</v>
      </c>
      <c r="I33" s="143" t="s">
        <v>279</v>
      </c>
      <c r="J33" s="95" t="s">
        <v>279</v>
      </c>
      <c r="K33" s="104" t="s">
        <v>279</v>
      </c>
      <c r="L33" s="67" t="s">
        <v>279</v>
      </c>
      <c r="M33" s="104" t="s">
        <v>279</v>
      </c>
      <c r="N33" s="95" t="s">
        <v>279</v>
      </c>
      <c r="O33" s="143" t="s">
        <v>279</v>
      </c>
      <c r="P33" s="95" t="s">
        <v>279</v>
      </c>
      <c r="Q33" s="104" t="s">
        <v>279</v>
      </c>
      <c r="R33" s="67" t="s">
        <v>279</v>
      </c>
      <c r="S33" s="153" t="s">
        <v>279</v>
      </c>
      <c r="T33" s="95" t="s">
        <v>279</v>
      </c>
      <c r="U33" s="104" t="s">
        <v>279</v>
      </c>
      <c r="V33" s="113" t="s">
        <v>279</v>
      </c>
    </row>
    <row r="34" spans="1:22" x14ac:dyDescent="0.2">
      <c r="A34" s="31"/>
      <c r="B34" s="45" t="str">
        <f>VLOOKUP("&lt;T2Zeilentitel_6.3&gt;",Uebersetzungen!$B$3:$E$83,Uebersetzungen!$B$2+1,FALSE)</f>
        <v>Nichterwerbspersonen</v>
      </c>
      <c r="C34" s="146">
        <v>63502.266014792644</v>
      </c>
      <c r="D34" s="128">
        <v>3.6135246280747295</v>
      </c>
      <c r="E34" s="168">
        <v>7637.9555216869303</v>
      </c>
      <c r="F34" s="76">
        <v>13.317534438374798</v>
      </c>
      <c r="G34" s="168">
        <v>5751.9588237620228</v>
      </c>
      <c r="H34" s="128">
        <v>15.111265076614655</v>
      </c>
      <c r="I34" s="147">
        <v>3925.9074746710712</v>
      </c>
      <c r="J34" s="128">
        <v>18.815941931136592</v>
      </c>
      <c r="K34" s="169" t="s">
        <v>279</v>
      </c>
      <c r="L34" s="76" t="s">
        <v>279</v>
      </c>
      <c r="M34" s="170">
        <v>315.63282839262553</v>
      </c>
      <c r="N34" s="132">
        <v>64.704980333151724</v>
      </c>
      <c r="O34" s="78">
        <v>1662.7792790958808</v>
      </c>
      <c r="P34" s="132">
        <v>29.253469870996909</v>
      </c>
      <c r="Q34" s="170">
        <v>926.13605813344441</v>
      </c>
      <c r="R34" s="79">
        <v>37.241781697101331</v>
      </c>
      <c r="S34" s="131">
        <v>1877.8285275776575</v>
      </c>
      <c r="T34" s="132">
        <v>28.016982778169378</v>
      </c>
      <c r="U34" s="169" t="s">
        <v>279</v>
      </c>
      <c r="V34" s="133" t="s">
        <v>279</v>
      </c>
    </row>
    <row r="35" spans="1:22" x14ac:dyDescent="0.2">
      <c r="A35" s="32" t="str">
        <f>VLOOKUP("&lt;Zeilentitel_7&gt;",Uebersetzungen!$B$3:$E$83,Uebersetzungen!$B$2+1,FALSE)</f>
        <v>Sozioprofessionelle Kategorien</v>
      </c>
      <c r="B35" s="43" t="str">
        <f>VLOOKUP("&lt;Zeilentitel_7.1&gt;",Uebersetzungen!$B$3:$E$83,Uebersetzungen!$B$2+1,FALSE)</f>
        <v>Oberstes Management</v>
      </c>
      <c r="C35" s="141">
        <v>2591.821881584016</v>
      </c>
      <c r="D35" s="95">
        <v>22.096779166267048</v>
      </c>
      <c r="E35" s="153" t="s">
        <v>279</v>
      </c>
      <c r="F35" s="67" t="s">
        <v>279</v>
      </c>
      <c r="G35" s="153" t="s">
        <v>279</v>
      </c>
      <c r="H35" s="95" t="s">
        <v>279</v>
      </c>
      <c r="I35" s="143" t="s">
        <v>279</v>
      </c>
      <c r="J35" s="95" t="s">
        <v>279</v>
      </c>
      <c r="K35" s="104" t="s">
        <v>279</v>
      </c>
      <c r="L35" s="67" t="s">
        <v>279</v>
      </c>
      <c r="M35" s="104" t="s">
        <v>279</v>
      </c>
      <c r="N35" s="95" t="s">
        <v>279</v>
      </c>
      <c r="O35" s="143" t="s">
        <v>279</v>
      </c>
      <c r="P35" s="95" t="s">
        <v>279</v>
      </c>
      <c r="Q35" s="104" t="s">
        <v>279</v>
      </c>
      <c r="R35" s="67" t="s">
        <v>279</v>
      </c>
      <c r="S35" s="104" t="s">
        <v>279</v>
      </c>
      <c r="T35" s="95" t="s">
        <v>279</v>
      </c>
      <c r="U35" s="104" t="s">
        <v>279</v>
      </c>
      <c r="V35" s="113" t="s">
        <v>279</v>
      </c>
    </row>
    <row r="36" spans="1:22" x14ac:dyDescent="0.2">
      <c r="A36" s="33"/>
      <c r="B36" s="45" t="str">
        <f>VLOOKUP("&lt;Zeilentitel_7.2&gt;",Uebersetzungen!$B$3:$E$83,Uebersetzungen!$B$2+1,FALSE)</f>
        <v>Freie und gleichgestellte Berufe</v>
      </c>
      <c r="C36" s="141">
        <v>2772.6059416691332</v>
      </c>
      <c r="D36" s="95">
        <v>21.257825256075535</v>
      </c>
      <c r="E36" s="104" t="s">
        <v>279</v>
      </c>
      <c r="F36" s="67" t="s">
        <v>279</v>
      </c>
      <c r="G36" s="104" t="s">
        <v>279</v>
      </c>
      <c r="H36" s="95" t="s">
        <v>279</v>
      </c>
      <c r="I36" s="66" t="s">
        <v>279</v>
      </c>
      <c r="J36" s="95" t="s">
        <v>279</v>
      </c>
      <c r="K36" s="104" t="s">
        <v>279</v>
      </c>
      <c r="L36" s="67" t="s">
        <v>279</v>
      </c>
      <c r="M36" s="104" t="s">
        <v>279</v>
      </c>
      <c r="N36" s="95" t="s">
        <v>279</v>
      </c>
      <c r="O36" s="66" t="s">
        <v>279</v>
      </c>
      <c r="P36" s="95" t="s">
        <v>279</v>
      </c>
      <c r="Q36" s="104" t="s">
        <v>279</v>
      </c>
      <c r="R36" s="67" t="s">
        <v>279</v>
      </c>
      <c r="S36" s="104" t="s">
        <v>279</v>
      </c>
      <c r="T36" s="95" t="s">
        <v>279</v>
      </c>
      <c r="U36" s="104" t="s">
        <v>279</v>
      </c>
      <c r="V36" s="113" t="s">
        <v>279</v>
      </c>
    </row>
    <row r="37" spans="1:22" x14ac:dyDescent="0.2">
      <c r="A37" s="34"/>
      <c r="B37" s="45" t="str">
        <f>VLOOKUP("&lt;Zeilentitel_7.3&gt;",Uebersetzungen!$B$3:$E$83,Uebersetzungen!$B$2+1,FALSE)</f>
        <v>Andere Selbstständige</v>
      </c>
      <c r="C37" s="141">
        <v>13585.627488911183</v>
      </c>
      <c r="D37" s="95">
        <v>9.6193425282333873</v>
      </c>
      <c r="E37" s="153" t="s">
        <v>279</v>
      </c>
      <c r="F37" s="67" t="s">
        <v>279</v>
      </c>
      <c r="G37" s="153" t="s">
        <v>279</v>
      </c>
      <c r="H37" s="95" t="s">
        <v>279</v>
      </c>
      <c r="I37" s="143" t="s">
        <v>279</v>
      </c>
      <c r="J37" s="95" t="s">
        <v>279</v>
      </c>
      <c r="K37" s="104" t="s">
        <v>279</v>
      </c>
      <c r="L37" s="67" t="s">
        <v>279</v>
      </c>
      <c r="M37" s="104" t="s">
        <v>279</v>
      </c>
      <c r="N37" s="95" t="s">
        <v>279</v>
      </c>
      <c r="O37" s="66" t="s">
        <v>279</v>
      </c>
      <c r="P37" s="95" t="s">
        <v>279</v>
      </c>
      <c r="Q37" s="104" t="s">
        <v>279</v>
      </c>
      <c r="R37" s="67" t="s">
        <v>279</v>
      </c>
      <c r="S37" s="153" t="s">
        <v>279</v>
      </c>
      <c r="T37" s="95" t="s">
        <v>279</v>
      </c>
      <c r="U37" s="104" t="s">
        <v>279</v>
      </c>
      <c r="V37" s="113" t="s">
        <v>279</v>
      </c>
    </row>
    <row r="38" spans="1:22" x14ac:dyDescent="0.2">
      <c r="A38" s="34"/>
      <c r="B38" s="45" t="str">
        <f>VLOOKUP("&lt;Zeilentitel_7.4&gt;",Uebersetzungen!$B$3:$E$83,Uebersetzungen!$B$2+1,FALSE)</f>
        <v>Akademische Berufe und oberes Kader</v>
      </c>
      <c r="C38" s="141">
        <v>16516.630569380319</v>
      </c>
      <c r="D38" s="95">
        <v>8.5095799786306721</v>
      </c>
      <c r="E38" s="105">
        <v>1216.3096742811106</v>
      </c>
      <c r="F38" s="69">
        <v>33.983615799703799</v>
      </c>
      <c r="G38" s="105">
        <v>1067.6172033628627</v>
      </c>
      <c r="H38" s="97">
        <v>36.282861038308447</v>
      </c>
      <c r="I38" s="144">
        <v>758.1222909616472</v>
      </c>
      <c r="J38" s="97">
        <v>43.837838351649403</v>
      </c>
      <c r="K38" s="153" t="s">
        <v>279</v>
      </c>
      <c r="L38" s="67" t="s">
        <v>279</v>
      </c>
      <c r="M38" s="104" t="s">
        <v>279</v>
      </c>
      <c r="N38" s="95" t="s">
        <v>279</v>
      </c>
      <c r="O38" s="143" t="s">
        <v>279</v>
      </c>
      <c r="P38" s="95" t="s">
        <v>279</v>
      </c>
      <c r="Q38" s="153" t="s">
        <v>279</v>
      </c>
      <c r="R38" s="67" t="s">
        <v>279</v>
      </c>
      <c r="S38" s="152">
        <v>501.84835244800848</v>
      </c>
      <c r="T38" s="97">
        <v>54.23895951499582</v>
      </c>
      <c r="U38" s="153" t="s">
        <v>279</v>
      </c>
      <c r="V38" s="113" t="s">
        <v>279</v>
      </c>
    </row>
    <row r="39" spans="1:22" x14ac:dyDescent="0.2">
      <c r="A39" s="34"/>
      <c r="B39" s="45" t="str">
        <f>VLOOKUP("&lt;Zeilentitel_7.5&gt;",Uebersetzungen!$B$3:$E$83,Uebersetzungen!$B$2+1,FALSE)</f>
        <v>Intermediäre Berufe</v>
      </c>
      <c r="C39" s="141">
        <v>31500.389602709791</v>
      </c>
      <c r="D39" s="95">
        <v>6.0706703697586724</v>
      </c>
      <c r="E39" s="105">
        <v>1740.2225992353167</v>
      </c>
      <c r="F39" s="69">
        <v>28.190717823147246</v>
      </c>
      <c r="G39" s="105">
        <v>1599.031173884714</v>
      </c>
      <c r="H39" s="97">
        <v>29.485542526683485</v>
      </c>
      <c r="I39" s="144">
        <v>672.63767871109462</v>
      </c>
      <c r="J39" s="97">
        <v>45.638336880116142</v>
      </c>
      <c r="K39" s="153" t="s">
        <v>279</v>
      </c>
      <c r="L39" s="67" t="s">
        <v>279</v>
      </c>
      <c r="M39" s="153" t="s">
        <v>279</v>
      </c>
      <c r="N39" s="95" t="s">
        <v>279</v>
      </c>
      <c r="O39" s="143" t="s">
        <v>279</v>
      </c>
      <c r="P39" s="95" t="s">
        <v>279</v>
      </c>
      <c r="Q39" s="153" t="s">
        <v>279</v>
      </c>
      <c r="R39" s="67" t="s">
        <v>279</v>
      </c>
      <c r="S39" s="152">
        <v>291.83088774887381</v>
      </c>
      <c r="T39" s="97">
        <v>68.540615447734183</v>
      </c>
      <c r="U39" s="153" t="s">
        <v>279</v>
      </c>
      <c r="V39" s="113" t="s">
        <v>279</v>
      </c>
    </row>
    <row r="40" spans="1:22" x14ac:dyDescent="0.2">
      <c r="A40" s="34"/>
      <c r="B40" s="45" t="str">
        <f>VLOOKUP("&lt;Zeilentitel_7.6&gt;",Uebersetzungen!$B$3:$E$83,Uebersetzungen!$B$2+1,FALSE)</f>
        <v>Qualifizierte nichtmanuelle Berufe</v>
      </c>
      <c r="C40" s="141">
        <v>23605.686619492506</v>
      </c>
      <c r="D40" s="95">
        <v>7.0821137163126417</v>
      </c>
      <c r="E40" s="105">
        <v>1163.4273134142011</v>
      </c>
      <c r="F40" s="69">
        <v>35.210497908222024</v>
      </c>
      <c r="G40" s="105">
        <v>1045.2010964264737</v>
      </c>
      <c r="H40" s="97">
        <v>37.124724737116232</v>
      </c>
      <c r="I40" s="144">
        <v>708.95965281074655</v>
      </c>
      <c r="J40" s="97">
        <v>46.52225321641469</v>
      </c>
      <c r="K40" s="104" t="s">
        <v>279</v>
      </c>
      <c r="L40" s="67" t="s">
        <v>279</v>
      </c>
      <c r="M40" s="104" t="s">
        <v>279</v>
      </c>
      <c r="N40" s="95" t="s">
        <v>279</v>
      </c>
      <c r="O40" s="144">
        <v>182.81986028999327</v>
      </c>
      <c r="P40" s="97">
        <v>86.709028359663819</v>
      </c>
      <c r="Q40" s="153" t="s">
        <v>279</v>
      </c>
      <c r="R40" s="67" t="s">
        <v>279</v>
      </c>
      <c r="S40" s="152">
        <v>423.62934805026123</v>
      </c>
      <c r="T40" s="97">
        <v>62.781561868494194</v>
      </c>
      <c r="U40" s="104" t="s">
        <v>279</v>
      </c>
      <c r="V40" s="113" t="s">
        <v>279</v>
      </c>
    </row>
    <row r="41" spans="1:22" x14ac:dyDescent="0.2">
      <c r="A41" s="34"/>
      <c r="B41" s="45" t="str">
        <f>VLOOKUP("&lt;Zeilentitel_7.7&gt;",Uebersetzungen!$B$3:$E$83,Uebersetzungen!$B$2+1,FALSE)</f>
        <v>Qualifizierte manuelle Berufe</v>
      </c>
      <c r="C41" s="141">
        <v>9675.5097240627765</v>
      </c>
      <c r="D41" s="95">
        <v>12.183978199175273</v>
      </c>
      <c r="E41" s="153" t="s">
        <v>279</v>
      </c>
      <c r="F41" s="67" t="s">
        <v>279</v>
      </c>
      <c r="G41" s="153" t="s">
        <v>279</v>
      </c>
      <c r="H41" s="95" t="s">
        <v>279</v>
      </c>
      <c r="I41" s="143" t="s">
        <v>279</v>
      </c>
      <c r="J41" s="95" t="s">
        <v>279</v>
      </c>
      <c r="K41" s="104" t="s">
        <v>279</v>
      </c>
      <c r="L41" s="67" t="s">
        <v>279</v>
      </c>
      <c r="M41" s="104" t="s">
        <v>279</v>
      </c>
      <c r="N41" s="95" t="s">
        <v>279</v>
      </c>
      <c r="O41" s="66" t="s">
        <v>279</v>
      </c>
      <c r="P41" s="95" t="s">
        <v>279</v>
      </c>
      <c r="Q41" s="153" t="s">
        <v>279</v>
      </c>
      <c r="R41" s="67" t="s">
        <v>279</v>
      </c>
      <c r="S41" s="104" t="s">
        <v>279</v>
      </c>
      <c r="T41" s="95" t="s">
        <v>279</v>
      </c>
      <c r="U41" s="104" t="s">
        <v>279</v>
      </c>
      <c r="V41" s="113" t="s">
        <v>279</v>
      </c>
    </row>
    <row r="42" spans="1:22" x14ac:dyDescent="0.2">
      <c r="A42" s="34"/>
      <c r="B42" s="45" t="str">
        <f>VLOOKUP("&lt;Zeilentitel_7.8&gt;",Uebersetzungen!$B$3:$E$83,Uebersetzungen!$B$2+1,FALSE)</f>
        <v>Ungelernte Angestellte und Arbeiter</v>
      </c>
      <c r="C42" s="141">
        <v>5853.1832767080768</v>
      </c>
      <c r="D42" s="95">
        <v>16.140312244326317</v>
      </c>
      <c r="E42" s="153" t="s">
        <v>279</v>
      </c>
      <c r="F42" s="67" t="s">
        <v>279</v>
      </c>
      <c r="G42" s="153" t="s">
        <v>279</v>
      </c>
      <c r="H42" s="95" t="s">
        <v>279</v>
      </c>
      <c r="I42" s="143" t="s">
        <v>279</v>
      </c>
      <c r="J42" s="95" t="s">
        <v>279</v>
      </c>
      <c r="K42" s="104" t="s">
        <v>279</v>
      </c>
      <c r="L42" s="67" t="s">
        <v>279</v>
      </c>
      <c r="M42" s="104" t="s">
        <v>279</v>
      </c>
      <c r="N42" s="95" t="s">
        <v>279</v>
      </c>
      <c r="O42" s="143" t="s">
        <v>279</v>
      </c>
      <c r="P42" s="95" t="s">
        <v>279</v>
      </c>
      <c r="Q42" s="104" t="s">
        <v>279</v>
      </c>
      <c r="R42" s="67" t="s">
        <v>279</v>
      </c>
      <c r="S42" s="153" t="s">
        <v>279</v>
      </c>
      <c r="T42" s="95" t="s">
        <v>279</v>
      </c>
      <c r="U42" s="153" t="s">
        <v>279</v>
      </c>
      <c r="V42" s="113" t="s">
        <v>279</v>
      </c>
    </row>
    <row r="43" spans="1:22" ht="25.5" customHeight="1" x14ac:dyDescent="0.2">
      <c r="A43" s="34"/>
      <c r="B43" s="45" t="str">
        <f>VLOOKUP("&lt;Zeilentitel_7.9&gt;",Uebersetzungen!$B$3:$E$83,Uebersetzungen!$B$2+1,FALSE)</f>
        <v>Lernende in dualer beruflicher Grundbildung (Lehrlinge)</v>
      </c>
      <c r="C43" s="141">
        <v>2635.7418494780122</v>
      </c>
      <c r="D43" s="95">
        <v>22.722475697722587</v>
      </c>
      <c r="E43" s="151">
        <v>2635.7418494780122</v>
      </c>
      <c r="F43" s="67">
        <v>22.722475697722587</v>
      </c>
      <c r="G43" s="151">
        <v>2267.3370227961464</v>
      </c>
      <c r="H43" s="95">
        <v>24.200567452247483</v>
      </c>
      <c r="I43" s="144">
        <v>915.71582337752238</v>
      </c>
      <c r="J43" s="97">
        <v>40.073388086913617</v>
      </c>
      <c r="K43" s="104" t="s">
        <v>279</v>
      </c>
      <c r="L43" s="67" t="s">
        <v>279</v>
      </c>
      <c r="M43" s="153" t="s">
        <v>279</v>
      </c>
      <c r="N43" s="95" t="s">
        <v>279</v>
      </c>
      <c r="O43" s="144">
        <v>418.64684921479602</v>
      </c>
      <c r="P43" s="97">
        <v>55.856614501404053</v>
      </c>
      <c r="Q43" s="152">
        <v>170.99665522067966</v>
      </c>
      <c r="R43" s="69">
        <v>86.548906309866595</v>
      </c>
      <c r="S43" s="152">
        <v>291.17861454347627</v>
      </c>
      <c r="T43" s="97">
        <v>68.757260154862053</v>
      </c>
      <c r="U43" s="153" t="s">
        <v>279</v>
      </c>
      <c r="V43" s="113" t="s">
        <v>279</v>
      </c>
    </row>
    <row r="44" spans="1:22" ht="38.25" x14ac:dyDescent="0.2">
      <c r="A44" s="34"/>
      <c r="B44" s="45" t="str">
        <f>VLOOKUP("&lt;Zeilentitel_7.10&gt;",Uebersetzungen!$B$3:$E$83,Uebersetzungen!$B$2+1,FALSE)</f>
        <v>Nicht zuteilbare Erwerbstätige (fehlende oder unklare Basisdaten oder unplausible Kombination)</v>
      </c>
      <c r="C44" s="85">
        <v>1453.1300693931603</v>
      </c>
      <c r="D44" s="97">
        <v>31.192680984634492</v>
      </c>
      <c r="E44" s="152">
        <v>305.81532783952196</v>
      </c>
      <c r="F44" s="69">
        <v>68.731737830626116</v>
      </c>
      <c r="G44" s="152">
        <v>268.84428016620603</v>
      </c>
      <c r="H44" s="97">
        <v>73.54343673288254</v>
      </c>
      <c r="I44" s="143" t="s">
        <v>279</v>
      </c>
      <c r="J44" s="95" t="s">
        <v>279</v>
      </c>
      <c r="K44" s="104" t="s">
        <v>279</v>
      </c>
      <c r="L44" s="67" t="s">
        <v>279</v>
      </c>
      <c r="M44" s="104" t="s">
        <v>279</v>
      </c>
      <c r="N44" s="95" t="s">
        <v>279</v>
      </c>
      <c r="O44" s="66" t="s">
        <v>279</v>
      </c>
      <c r="P44" s="95" t="s">
        <v>279</v>
      </c>
      <c r="Q44" s="104" t="s">
        <v>279</v>
      </c>
      <c r="R44" s="67" t="s">
        <v>279</v>
      </c>
      <c r="S44" s="153" t="s">
        <v>279</v>
      </c>
      <c r="T44" s="95" t="s">
        <v>279</v>
      </c>
      <c r="U44" s="104" t="s">
        <v>279</v>
      </c>
      <c r="V44" s="113" t="s">
        <v>279</v>
      </c>
    </row>
    <row r="45" spans="1:22" x14ac:dyDescent="0.2">
      <c r="A45" s="34"/>
      <c r="B45" s="45" t="str">
        <f>VLOOKUP("&lt;Zeilentitel_7.11&gt;",Uebersetzungen!$B$3:$E$83,Uebersetzungen!$B$2+1,FALSE)</f>
        <v>Erwerbslose und Nichterwerbspersonen</v>
      </c>
      <c r="C45" s="141">
        <v>65786.672976606395</v>
      </c>
      <c r="D45" s="95">
        <v>3.5246268704900596</v>
      </c>
      <c r="E45" s="151">
        <v>7845.4569450863792</v>
      </c>
      <c r="F45" s="67">
        <v>13.153590775484991</v>
      </c>
      <c r="G45" s="151">
        <v>5926.5938567416888</v>
      </c>
      <c r="H45" s="95">
        <v>14.926945786101257</v>
      </c>
      <c r="I45" s="142">
        <v>3997.3939256490839</v>
      </c>
      <c r="J45" s="95">
        <v>18.63416686515037</v>
      </c>
      <c r="K45" s="153" t="s">
        <v>279</v>
      </c>
      <c r="L45" s="67" t="s">
        <v>279</v>
      </c>
      <c r="M45" s="152">
        <v>315.63282839262553</v>
      </c>
      <c r="N45" s="97">
        <v>64.704980333151724</v>
      </c>
      <c r="O45" s="68">
        <v>1695.6456695156642</v>
      </c>
      <c r="P45" s="97">
        <v>28.924948826049878</v>
      </c>
      <c r="Q45" s="152">
        <v>926.13605813344441</v>
      </c>
      <c r="R45" s="69">
        <v>37.241781697101331</v>
      </c>
      <c r="S45" s="151">
        <v>1949.3149785556705</v>
      </c>
      <c r="T45" s="95">
        <v>27.443851353523758</v>
      </c>
      <c r="U45" s="153" t="s">
        <v>279</v>
      </c>
      <c r="V45" s="113" t="s">
        <v>279</v>
      </c>
    </row>
    <row r="46" spans="1:22" ht="12.75" customHeight="1" x14ac:dyDescent="0.2">
      <c r="A46" s="30" t="str">
        <f>VLOOKUP("&lt;Zeilentitel_8&gt;",Uebersetzungen!$B$3:$E$83,Uebersetzungen!$B$2+1,FALSE)</f>
        <v>Höchste abgeschlossene Ausbildung</v>
      </c>
      <c r="B46" s="43" t="str">
        <f>VLOOKUP("&lt;Zeilentitel_8.1&gt;",Uebersetzungen!$B$3:$E$83,Uebersetzungen!$B$2+1,FALSE)</f>
        <v>Ohne nachobligatorische Aubildung</v>
      </c>
      <c r="C46" s="162">
        <v>32938.13710136617</v>
      </c>
      <c r="D46" s="118">
        <v>5.9139819080388278</v>
      </c>
      <c r="E46" s="163">
        <v>6933.9527249649936</v>
      </c>
      <c r="F46" s="125">
        <v>13.60998070176378</v>
      </c>
      <c r="G46" s="163">
        <v>5598.4312890148149</v>
      </c>
      <c r="H46" s="118">
        <v>15.011515303951018</v>
      </c>
      <c r="I46" s="164">
        <v>3206.9570584109706</v>
      </c>
      <c r="J46" s="118">
        <v>20.163364650543045</v>
      </c>
      <c r="K46" s="165" t="s">
        <v>279</v>
      </c>
      <c r="L46" s="125" t="s">
        <v>279</v>
      </c>
      <c r="M46" s="166">
        <v>264.29221494068685</v>
      </c>
      <c r="N46" s="137">
        <v>68.307175157117285</v>
      </c>
      <c r="O46" s="167">
        <v>1396.1161607418751</v>
      </c>
      <c r="P46" s="137">
        <v>31.216594797151053</v>
      </c>
      <c r="Q46" s="166">
        <v>961.12811460679791</v>
      </c>
      <c r="R46" s="124">
        <v>36.565227623737769</v>
      </c>
      <c r="S46" s="123">
        <v>1226.2695408359327</v>
      </c>
      <c r="T46" s="137">
        <v>33.432667752602917</v>
      </c>
      <c r="U46" s="165" t="s">
        <v>279</v>
      </c>
      <c r="V46" s="126" t="s">
        <v>279</v>
      </c>
    </row>
    <row r="47" spans="1:22" x14ac:dyDescent="0.2">
      <c r="A47" s="34"/>
      <c r="B47" s="45" t="str">
        <f>VLOOKUP("&lt;Zeilentitel_8.2&gt;",Uebersetzungen!$B$3:$E$83,Uebersetzungen!$B$2+1,FALSE)</f>
        <v>Sekundarstufe II</v>
      </c>
      <c r="C47" s="141">
        <v>81217.846845221968</v>
      </c>
      <c r="D47" s="95">
        <v>3.0408354358788965</v>
      </c>
      <c r="E47" s="151">
        <v>5040.499162145521</v>
      </c>
      <c r="F47" s="67">
        <v>16.997417351923385</v>
      </c>
      <c r="G47" s="151">
        <v>4037.3233588429844</v>
      </c>
      <c r="H47" s="95">
        <v>18.793366787775543</v>
      </c>
      <c r="I47" s="142">
        <v>2415.1403804123606</v>
      </c>
      <c r="J47" s="95">
        <v>25.201409584667353</v>
      </c>
      <c r="K47" s="153" t="s">
        <v>279</v>
      </c>
      <c r="L47" s="67" t="s">
        <v>279</v>
      </c>
      <c r="M47" s="153" t="s">
        <v>279</v>
      </c>
      <c r="N47" s="95" t="s">
        <v>279</v>
      </c>
      <c r="O47" s="144">
        <v>862.55188952051503</v>
      </c>
      <c r="P47" s="97">
        <v>42.099215550167145</v>
      </c>
      <c r="Q47" s="152">
        <v>258.40082025271852</v>
      </c>
      <c r="R47" s="69">
        <v>73.117260661642561</v>
      </c>
      <c r="S47" s="105">
        <v>1037.4222025611198</v>
      </c>
      <c r="T47" s="97">
        <v>39.533366746188356</v>
      </c>
      <c r="U47" s="153" t="s">
        <v>279</v>
      </c>
      <c r="V47" s="113" t="s">
        <v>279</v>
      </c>
    </row>
    <row r="48" spans="1:22" ht="13.5" thickBot="1" x14ac:dyDescent="0.25">
      <c r="A48" s="35"/>
      <c r="B48" s="46" t="str">
        <f>VLOOKUP("&lt;Zeilentitel_8.3&gt;",Uebersetzungen!$B$3:$E$83,Uebersetzungen!$B$2+1,FALSE)</f>
        <v>Tertiärstufe</v>
      </c>
      <c r="C48" s="148">
        <v>61821.016053407497</v>
      </c>
      <c r="D48" s="101">
        <v>3.7375170185912698</v>
      </c>
      <c r="E48" s="154">
        <v>3321.7194776658889</v>
      </c>
      <c r="F48" s="88">
        <v>20.71241317456392</v>
      </c>
      <c r="G48" s="154">
        <v>2795.9108041175436</v>
      </c>
      <c r="H48" s="101">
        <v>22.375097473190898</v>
      </c>
      <c r="I48" s="91">
        <v>1795.76810882058</v>
      </c>
      <c r="J48" s="111">
        <v>28.597943712900985</v>
      </c>
      <c r="K48" s="156" t="s">
        <v>279</v>
      </c>
      <c r="L48" s="88" t="s">
        <v>279</v>
      </c>
      <c r="M48" s="156" t="s">
        <v>279</v>
      </c>
      <c r="N48" s="101" t="s">
        <v>279</v>
      </c>
      <c r="O48" s="149">
        <v>310.3450558225224</v>
      </c>
      <c r="P48" s="111">
        <v>64.478262480285622</v>
      </c>
      <c r="Q48" s="159">
        <v>315.46473581255555</v>
      </c>
      <c r="R48" s="92">
        <v>64.507349947606812</v>
      </c>
      <c r="S48" s="110">
        <v>1364.2765269420213</v>
      </c>
      <c r="T48" s="111">
        <v>33.040329529738791</v>
      </c>
      <c r="U48" s="156" t="s">
        <v>279</v>
      </c>
      <c r="V48" s="161" t="s">
        <v>279</v>
      </c>
    </row>
    <row r="49" spans="1:22" x14ac:dyDescent="0.2">
      <c r="A49" s="25"/>
      <c r="B49" s="18"/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6"/>
      <c r="T49" s="27"/>
      <c r="U49" s="28"/>
      <c r="V49" s="27"/>
    </row>
    <row r="50" spans="1:22" x14ac:dyDescent="0.2">
      <c r="A50" s="13" t="str">
        <f>VLOOKUP("&lt;Legende_1&gt;",Uebersetzungen!$B$3:$E$72,Uebersetzungen!$B$2+1,FALSE)</f>
        <v>Die Befragten konnten mehrere Hauptsprachen nennen.</v>
      </c>
    </row>
    <row r="51" spans="1:22" x14ac:dyDescent="0.2">
      <c r="A51" s="13" t="str">
        <f>VLOOKUP("&lt;Legende_2&gt;",Uebersetzungen!$B$3:$E$72,Uebersetzungen!$B$2+1,FALSE)</f>
        <v>(): Extrapolation aufgrund von 49 oder weniger Beobachtungen. Die Resultate sind mit grosser Vorsicht zu interpretieren.</v>
      </c>
    </row>
    <row r="52" spans="1:22" x14ac:dyDescent="0.2">
      <c r="A52" s="13" t="str">
        <f>VLOOKUP("&lt;Legende_3&gt;",Uebersetzungen!$B$3:$E$72,Uebersetzungen!$B$2+1,FALSE)</f>
        <v>X: Extrapolation aufgrund von 4 oder weniger Beobachtungen. Die Resultate werden aus Gründen des Datenschutzes nicht publiziert.</v>
      </c>
    </row>
    <row r="53" spans="1:22" x14ac:dyDescent="0.2">
      <c r="A53" s="13" t="str">
        <f>VLOOKUP("&lt;Legende_4&gt;",Uebersetzungen!$B$3:$E$72,Uebersetzungen!$B$2+1,FALSE)</f>
        <v>Die Grundgesamtheit der Strukturerhebung enthält alle Personen der ständigen Wohnbevölkerung ab vollendetem 15. Altersjahr, die in Privathaushalten leben.</v>
      </c>
    </row>
    <row r="54" spans="1:22" x14ac:dyDescent="0.2">
      <c r="A54" s="41" t="str">
        <f>VLOOKUP("&lt;Legende_5&gt;",Uebersetzungen!$B$3:$E$72,Uebersetzungen!$B$2+1,FALSE)</f>
        <v>Aus der Grundgesamtheit ausgeschlossen wurden neben den Personen, die in Kollektivhaushalten leben, auch Diplomaten, internationale Funktionäre und deren Angehörige.</v>
      </c>
    </row>
    <row r="55" spans="1:22" x14ac:dyDescent="0.2">
      <c r="A55" s="7"/>
    </row>
    <row r="56" spans="1:22" x14ac:dyDescent="0.2">
      <c r="A56" s="7" t="str">
        <f>VLOOKUP("&lt;Quelle_1&gt;",Uebersetzungen!$B$3:$E$83,Uebersetzungen!$B$2+1,FALSE)</f>
        <v>Quelle: BFS (Strukturerhebung)</v>
      </c>
    </row>
    <row r="57" spans="1:22" x14ac:dyDescent="0.2">
      <c r="A57" s="6" t="str">
        <f>VLOOKUP("&lt;Aktualisierung&gt;",Uebersetzungen!$B$3:$E$83,Uebersetzungen!$B$2+1,FALSE)</f>
        <v>Letztmals aktualisiert am: 05.03.2026</v>
      </c>
    </row>
    <row r="58" spans="1:22" x14ac:dyDescent="0.2">
      <c r="B58" s="9"/>
      <c r="T58" s="9"/>
    </row>
    <row r="60" spans="1:22" x14ac:dyDescent="0.2">
      <c r="B60" s="10"/>
      <c r="T60" s="10"/>
    </row>
    <row r="61" spans="1:22" x14ac:dyDescent="0.2">
      <c r="T61" s="9"/>
      <c r="U61" s="9"/>
      <c r="V61" s="9"/>
    </row>
  </sheetData>
  <sheetProtection sheet="1" objects="1" scenarios="1"/>
  <mergeCells count="13">
    <mergeCell ref="Q13:R13"/>
    <mergeCell ref="S13:T13"/>
    <mergeCell ref="U13:V13"/>
    <mergeCell ref="A7:D7"/>
    <mergeCell ref="C12:V12"/>
    <mergeCell ref="B13:B14"/>
    <mergeCell ref="C13:D13"/>
    <mergeCell ref="E13:F13"/>
    <mergeCell ref="G13:H13"/>
    <mergeCell ref="I13:J13"/>
    <mergeCell ref="K13:L13"/>
    <mergeCell ref="M13:N13"/>
    <mergeCell ref="O13:P13"/>
  </mergeCells>
  <pageMargins left="0.7" right="0.7" top="0.78740157499999996" bottom="0.78740157499999996" header="0.3" footer="0.3"/>
  <pageSetup paperSize="9" scale="28" orientation="portrait" horizontalDpi="90" verticalDpi="9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3</xdr:col>
                    <xdr:colOff>190500</xdr:colOff>
                    <xdr:row>1</xdr:row>
                    <xdr:rowOff>123825</xdr:rowOff>
                  </from>
                  <to>
                    <xdr:col>4</xdr:col>
                    <xdr:colOff>609600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3</xdr:col>
                    <xdr:colOff>190500</xdr:colOff>
                    <xdr:row>2</xdr:row>
                    <xdr:rowOff>114300</xdr:rowOff>
                  </from>
                  <to>
                    <xdr:col>5</xdr:col>
                    <xdr:colOff>276225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3</xdr:col>
                    <xdr:colOff>190500</xdr:colOff>
                    <xdr:row>3</xdr:row>
                    <xdr:rowOff>76200</xdr:rowOff>
                  </from>
                  <to>
                    <xdr:col>4</xdr:col>
                    <xdr:colOff>609600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61"/>
  <sheetViews>
    <sheetView showGridLines="0" zoomScaleNormal="100" workbookViewId="0"/>
  </sheetViews>
  <sheetFormatPr baseColWidth="10" defaultRowHeight="12.75" x14ac:dyDescent="0.2"/>
  <cols>
    <col min="1" max="1" width="29.75" style="6" customWidth="1"/>
    <col min="2" max="2" width="33.25" style="6" customWidth="1"/>
    <col min="3" max="20" width="9.5" style="6" customWidth="1"/>
    <col min="21" max="16384" width="11" style="6"/>
  </cols>
  <sheetData>
    <row r="1" spans="1:21" s="1" customFormat="1" x14ac:dyDescent="0.2"/>
    <row r="2" spans="1:21" s="1" customFormat="1" ht="15.75" x14ac:dyDescent="0.25">
      <c r="B2" s="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21" s="1" customFormat="1" ht="15.75" x14ac:dyDescent="0.25">
      <c r="B3" s="2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21" s="1" customFormat="1" ht="15.75" x14ac:dyDescent="0.25">
      <c r="B4" s="2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21" s="1" customFormat="1" x14ac:dyDescent="0.2"/>
    <row r="6" spans="1:21" s="1" customFormat="1" x14ac:dyDescent="0.2"/>
    <row r="7" spans="1:21" s="1" customFormat="1" ht="15.75" customHeight="1" x14ac:dyDescent="0.2">
      <c r="A7" s="55" t="str">
        <f>VLOOKUP("&lt;Fachbereich&gt;",Uebersetzungen!$B$3:$E$63,Uebersetzungen!$B$2+1,FALSE)</f>
        <v>Daten &amp; Statistik</v>
      </c>
      <c r="B7" s="55"/>
      <c r="C7" s="55"/>
      <c r="D7" s="55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12"/>
      <c r="R7" s="12"/>
      <c r="S7" s="12"/>
      <c r="T7" s="12"/>
      <c r="U7" s="12"/>
    </row>
    <row r="8" spans="1:21" s="1" customFormat="1" x14ac:dyDescent="0.2"/>
    <row r="9" spans="1:21" ht="18" x14ac:dyDescent="0.2">
      <c r="A9" s="3" t="str">
        <f>VLOOKUP("&lt;T3Titel&gt;",Uebersetzungen!$B$3:$E$86,Uebersetzungen!$B$2+1,FALSE)</f>
        <v>Zu Hause gesprochene Sprachen im Kanton Graubünden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1" x14ac:dyDescent="0.2">
      <c r="A10" s="7" t="str">
        <f>VLOOKUP("&lt;T3UTitel&gt;",Uebersetzungen!$B$3:$E$86,Uebersetzungen!$B$2+1,FALSE)</f>
        <v>Ständige Wohnbevölkerung ab 15 Jahren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1" ht="13.5" thickBot="1" x14ac:dyDescent="0.25">
      <c r="A11" s="7"/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1" ht="18" x14ac:dyDescent="0.25">
      <c r="A12" s="8"/>
      <c r="B12" s="8"/>
      <c r="C12" s="61">
        <v>2024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3"/>
    </row>
    <row r="13" spans="1:21" ht="37.5" customHeight="1" x14ac:dyDescent="0.2">
      <c r="B13" s="56"/>
      <c r="C13" s="58" t="str">
        <f>VLOOKUP("&lt;SpaltenTitel_1&gt;",Uebersetzungen!$B$3:$E$63,Uebersetzungen!$B$2+1,FALSE)</f>
        <v>Total Bevölkerung</v>
      </c>
      <c r="D13" s="59"/>
      <c r="E13" s="59" t="str">
        <f>VLOOKUP("&lt;SpaltenTitel_3&gt;",Uebersetzungen!$B$3:$E$63,Uebersetzungen!$B$2+1,FALSE)</f>
        <v>Schweizerdeutsch</v>
      </c>
      <c r="F13" s="59"/>
      <c r="G13" s="59" t="str">
        <f>VLOOKUP("&lt;SpaltenTitel_4&gt;",Uebersetzungen!$B$3:$E$63,Uebersetzungen!$B$2+1,FALSE)</f>
        <v>Deutsch</v>
      </c>
      <c r="H13" s="59"/>
      <c r="I13" s="59" t="str">
        <f>VLOOKUP("&lt;SpaltenTitel_5&gt;",Uebersetzungen!$B$3:$E$63,Uebersetzungen!$B$2+1,FALSE)</f>
        <v>Französisch</v>
      </c>
      <c r="J13" s="59"/>
      <c r="K13" s="64" t="str">
        <f>VLOOKUP("&lt;SpaltenTitel_6&gt;",Uebersetzungen!$B$3:$E$63,Uebersetzungen!$B$2+1,FALSE)</f>
        <v>Tessiner/Bündner-italienischer Dialekt</v>
      </c>
      <c r="L13" s="65"/>
      <c r="M13" s="64" t="str">
        <f>VLOOKUP("&lt;SpaltenTitel_7&gt;",Uebersetzungen!$B$3:$E$63,Uebersetzungen!$B$2+1,FALSE)</f>
        <v>Italienisch</v>
      </c>
      <c r="N13" s="65"/>
      <c r="O13" s="64" t="str">
        <f>VLOOKUP("&lt;SpaltenTitel_8&gt;",Uebersetzungen!$B$3:$E$63,Uebersetzungen!$B$2+1,FALSE)</f>
        <v>Rätoromanisch</v>
      </c>
      <c r="P13" s="65"/>
      <c r="Q13" s="59" t="str">
        <f>VLOOKUP("&lt;SpaltenTitel_9&gt;",Uebersetzungen!$B$3:$E$63,Uebersetzungen!$B$2+1,FALSE)</f>
        <v>Englisch</v>
      </c>
      <c r="R13" s="59"/>
      <c r="S13" s="59" t="str">
        <f>VLOOKUP("&lt;SpaltenTitel_10&gt;",Uebersetzungen!$B$3:$E$63,Uebersetzungen!$B$2+1,FALSE)</f>
        <v>Andere Sprache/n</v>
      </c>
      <c r="T13" s="60"/>
    </row>
    <row r="14" spans="1:21" ht="39" thickBot="1" x14ac:dyDescent="0.25">
      <c r="B14" s="57"/>
      <c r="C14" s="47" t="str">
        <f>VLOOKUP("&lt;SpaltenTitel_1.1&gt;",Uebersetzungen!$B$3:$E$63,Uebersetzungen!$B$2+1,FALSE)</f>
        <v>Anzahl Personen</v>
      </c>
      <c r="D14" s="48" t="str">
        <f>VLOOKUP("&lt;SpaltenTitel_1.2&gt;",Uebersetzungen!$B$3:$E$63,Uebersetzungen!$B$2+1,FALSE)</f>
        <v>Vertrauens- intervall: 
± (in %)</v>
      </c>
      <c r="E14" s="49" t="str">
        <f>VLOOKUP("&lt;SpaltenTitel_1.1&gt;",Uebersetzungen!$B$3:$E$63,Uebersetzungen!$B$2+1,FALSE)</f>
        <v>Anzahl Personen</v>
      </c>
      <c r="F14" s="48" t="str">
        <f>VLOOKUP("&lt;SpaltenTitel_1.2&gt;",Uebersetzungen!$B$3:$E$63,Uebersetzungen!$B$2+1,FALSE)</f>
        <v>Vertrauens- intervall: 
± (in %)</v>
      </c>
      <c r="G14" s="49" t="str">
        <f>VLOOKUP("&lt;SpaltenTitel_1.1&gt;",Uebersetzungen!$B$3:$E$63,Uebersetzungen!$B$2+1,FALSE)</f>
        <v>Anzahl Personen</v>
      </c>
      <c r="H14" s="48" t="str">
        <f>VLOOKUP("&lt;SpaltenTitel_1.2&gt;",Uebersetzungen!$B$3:$E$63,Uebersetzungen!$B$2+1,FALSE)</f>
        <v>Vertrauens- intervall: 
± (in %)</v>
      </c>
      <c r="I14" s="49" t="str">
        <f>VLOOKUP("&lt;SpaltenTitel_1.1&gt;",Uebersetzungen!$B$3:$E$63,Uebersetzungen!$B$2+1,FALSE)</f>
        <v>Anzahl Personen</v>
      </c>
      <c r="J14" s="48" t="str">
        <f>VLOOKUP("&lt;SpaltenTitel_1.2&gt;",Uebersetzungen!$B$3:$E$63,Uebersetzungen!$B$2+1,FALSE)</f>
        <v>Vertrauens- intervall: 
± (in %)</v>
      </c>
      <c r="K14" s="49" t="str">
        <f>VLOOKUP("&lt;SpaltenTitel_1.1&gt;",Uebersetzungen!$B$3:$E$63,Uebersetzungen!$B$2+1,FALSE)</f>
        <v>Anzahl Personen</v>
      </c>
      <c r="L14" s="48" t="str">
        <f>VLOOKUP("&lt;SpaltenTitel_1.2&gt;",Uebersetzungen!$B$3:$E$63,Uebersetzungen!$B$2+1,FALSE)</f>
        <v>Vertrauens- intervall: 
± (in %)</v>
      </c>
      <c r="M14" s="49" t="str">
        <f>VLOOKUP("&lt;SpaltenTitel_1.1&gt;",Uebersetzungen!$B$3:$E$63,Uebersetzungen!$B$2+1,FALSE)</f>
        <v>Anzahl Personen</v>
      </c>
      <c r="N14" s="48" t="str">
        <f>VLOOKUP("&lt;SpaltenTitel_1.2&gt;",Uebersetzungen!$B$3:$E$63,Uebersetzungen!$B$2+1,FALSE)</f>
        <v>Vertrauens- intervall: 
± (in %)</v>
      </c>
      <c r="O14" s="49" t="str">
        <f>VLOOKUP("&lt;SpaltenTitel_1.1&gt;",Uebersetzungen!$B$3:$E$63,Uebersetzungen!$B$2+1,FALSE)</f>
        <v>Anzahl Personen</v>
      </c>
      <c r="P14" s="48" t="str">
        <f>VLOOKUP("&lt;SpaltenTitel_1.2&gt;",Uebersetzungen!$B$3:$E$63,Uebersetzungen!$B$2+1,FALSE)</f>
        <v>Vertrauens- intervall: 
± (in %)</v>
      </c>
      <c r="Q14" s="50" t="str">
        <f>VLOOKUP("&lt;SpaltenTitel_1.1&gt;",Uebersetzungen!$B$3:$E$63,Uebersetzungen!$B$2+1,FALSE)</f>
        <v>Anzahl Personen</v>
      </c>
      <c r="R14" s="48" t="str">
        <f>VLOOKUP("&lt;SpaltenTitel_1.2&gt;",Uebersetzungen!$B$3:$E$63,Uebersetzungen!$B$2+1,FALSE)</f>
        <v>Vertrauens- intervall: 
± (in %)</v>
      </c>
      <c r="S14" s="51" t="str">
        <f>VLOOKUP("&lt;SpaltenTitel_1.1&gt;",Uebersetzungen!$B$3:$E$63,Uebersetzungen!$B$2+1,FALSE)</f>
        <v>Anzahl Personen</v>
      </c>
      <c r="T14" s="52" t="str">
        <f>VLOOKUP("&lt;SpaltenTitel_1.2&gt;",Uebersetzungen!$B$3:$E$63,Uebersetzungen!$B$2+1,FALSE)</f>
        <v>Vertrauens- intervall: 
± (in %)</v>
      </c>
    </row>
    <row r="15" spans="1:21" ht="14.25" customHeight="1" x14ac:dyDescent="0.2">
      <c r="A15" s="29" t="str">
        <f>VLOOKUP("&lt;Zeilentitel_1&gt;",Uebersetzungen!$B$3:$E$83,Uebersetzungen!$B$2+1,FALSE)</f>
        <v>Total</v>
      </c>
      <c r="B15" s="42"/>
      <c r="C15" s="80">
        <v>175976.99999999584</v>
      </c>
      <c r="D15" s="93">
        <v>0.3967578846481099</v>
      </c>
      <c r="E15" s="103">
        <v>119935.88994561534</v>
      </c>
      <c r="F15" s="81">
        <v>1.8340381465566329</v>
      </c>
      <c r="G15" s="103">
        <v>20106.379810355735</v>
      </c>
      <c r="H15" s="93">
        <v>8.0588185296308463</v>
      </c>
      <c r="I15" s="83">
        <v>1932.7519856122321</v>
      </c>
      <c r="J15" s="93">
        <v>26.464101647839367</v>
      </c>
      <c r="K15" s="103">
        <v>8392.6182645455301</v>
      </c>
      <c r="L15" s="81">
        <v>12.234770492070963</v>
      </c>
      <c r="M15" s="103">
        <v>19525.430055049779</v>
      </c>
      <c r="N15" s="93">
        <v>8.0627286794357094</v>
      </c>
      <c r="O15" s="83">
        <v>24302.04428860878</v>
      </c>
      <c r="P15" s="93">
        <v>6.801235882172433</v>
      </c>
      <c r="Q15" s="103">
        <v>6345.7155852287933</v>
      </c>
      <c r="R15" s="81">
        <v>14.851330467349632</v>
      </c>
      <c r="S15" s="103">
        <v>25183.321943057861</v>
      </c>
      <c r="T15" s="112">
        <v>7.4258136011959754</v>
      </c>
    </row>
    <row r="16" spans="1:21" x14ac:dyDescent="0.2">
      <c r="A16" s="30" t="str">
        <f>VLOOKUP("&lt;Zeilentitel_2&gt;",Uebersetzungen!$B$3:$E$83,Uebersetzungen!$B$2+1,FALSE)</f>
        <v>Geschlecht</v>
      </c>
      <c r="B16" s="43" t="str">
        <f>VLOOKUP("&lt;Zeilentitel_2.1&gt;",Uebersetzungen!$B$3:$E$83,Uebersetzungen!$B$2+1,FALSE)</f>
        <v>Männer</v>
      </c>
      <c r="C16" s="117">
        <v>88469.999999997206</v>
      </c>
      <c r="D16" s="118">
        <v>2.8767215425128136</v>
      </c>
      <c r="E16" s="121">
        <v>57905.94434131882</v>
      </c>
      <c r="F16" s="125">
        <v>3.9222637773083897</v>
      </c>
      <c r="G16" s="121">
        <v>10753.083570322568</v>
      </c>
      <c r="H16" s="118">
        <v>11.684186393745271</v>
      </c>
      <c r="I16" s="173">
        <v>843.36153609992073</v>
      </c>
      <c r="J16" s="137">
        <v>41.097628341103352</v>
      </c>
      <c r="K16" s="121">
        <v>4484.7615893993407</v>
      </c>
      <c r="L16" s="125">
        <v>17.065174759185787</v>
      </c>
      <c r="M16" s="121">
        <v>10685.532488924255</v>
      </c>
      <c r="N16" s="118">
        <v>11.458553042296595</v>
      </c>
      <c r="O16" s="122">
        <v>12886.012305434946</v>
      </c>
      <c r="P16" s="118">
        <v>9.7419729189433291</v>
      </c>
      <c r="Q16" s="121">
        <v>3229.9992212894276</v>
      </c>
      <c r="R16" s="125">
        <v>21.63814781665392</v>
      </c>
      <c r="S16" s="121">
        <v>12274.450112036129</v>
      </c>
      <c r="T16" s="126">
        <v>11.522464359007047</v>
      </c>
    </row>
    <row r="17" spans="1:20" x14ac:dyDescent="0.2">
      <c r="A17" s="31"/>
      <c r="B17" s="44" t="str">
        <f>VLOOKUP("&lt;Zeilentitel_2.2&gt;",Uebersetzungen!$B$3:$E$83,Uebersetzungen!$B$2+1,FALSE)</f>
        <v>Frauen</v>
      </c>
      <c r="C17" s="127">
        <v>87506.999999998632</v>
      </c>
      <c r="D17" s="128">
        <v>2.7377556760568122</v>
      </c>
      <c r="E17" s="130">
        <v>62029.945604296532</v>
      </c>
      <c r="F17" s="76">
        <v>3.6485513927738409</v>
      </c>
      <c r="G17" s="130">
        <v>9353.2962400331653</v>
      </c>
      <c r="H17" s="128">
        <v>11.708465435354571</v>
      </c>
      <c r="I17" s="78">
        <v>1089.3904495123115</v>
      </c>
      <c r="J17" s="132">
        <v>34.697412803817478</v>
      </c>
      <c r="K17" s="130">
        <v>3907.8566751461904</v>
      </c>
      <c r="L17" s="76">
        <v>18.006943840938408</v>
      </c>
      <c r="M17" s="130">
        <v>8839.8975661255263</v>
      </c>
      <c r="N17" s="128">
        <v>11.984166852629597</v>
      </c>
      <c r="O17" s="75">
        <v>11416.031983173834</v>
      </c>
      <c r="P17" s="128">
        <v>10.285910775476154</v>
      </c>
      <c r="Q17" s="130">
        <v>3115.7163639393657</v>
      </c>
      <c r="R17" s="76">
        <v>20.674255379941346</v>
      </c>
      <c r="S17" s="130">
        <v>12908.87183102173</v>
      </c>
      <c r="T17" s="133">
        <v>10.209406301155848</v>
      </c>
    </row>
    <row r="18" spans="1:20" x14ac:dyDescent="0.2">
      <c r="A18" s="32" t="str">
        <f>VLOOKUP("&lt;Zeilentitel_3&gt;",Uebersetzungen!$B$3:$E$83,Uebersetzungen!$B$2+1,FALSE)</f>
        <v>Alter</v>
      </c>
      <c r="B18" s="25" t="str">
        <f>VLOOKUP("&lt;Zeilentitel_3.1&gt;",Uebersetzungen!$B$3:$E$83,Uebersetzungen!$B$2+1,FALSE)</f>
        <v>15-24</v>
      </c>
      <c r="C18" s="84">
        <v>18707.999999999502</v>
      </c>
      <c r="D18" s="95">
        <v>8.3015949454829325</v>
      </c>
      <c r="E18" s="104">
        <v>12558.858087885284</v>
      </c>
      <c r="F18" s="67">
        <v>9.9503666489826248</v>
      </c>
      <c r="G18" s="105">
        <v>1832.0004441083272</v>
      </c>
      <c r="H18" s="97">
        <v>30.375461731270221</v>
      </c>
      <c r="I18" s="66" t="s">
        <v>279</v>
      </c>
      <c r="J18" s="95" t="s">
        <v>279</v>
      </c>
      <c r="K18" s="106">
        <v>834.67101379937185</v>
      </c>
      <c r="L18" s="69">
        <v>39.463260414134282</v>
      </c>
      <c r="M18" s="104">
        <v>1967.8388598836457</v>
      </c>
      <c r="N18" s="95">
        <v>27.494563091480298</v>
      </c>
      <c r="O18" s="66">
        <v>2926.5759284045566</v>
      </c>
      <c r="P18" s="95">
        <v>21.281776133410361</v>
      </c>
      <c r="Q18" s="106">
        <v>928.39598710197401</v>
      </c>
      <c r="R18" s="69">
        <v>41.099043649228172</v>
      </c>
      <c r="S18" s="104">
        <v>3434.9118605840208</v>
      </c>
      <c r="T18" s="113">
        <v>22.288984311019242</v>
      </c>
    </row>
    <row r="19" spans="1:20" x14ac:dyDescent="0.2">
      <c r="A19" s="33"/>
      <c r="B19" s="45" t="str">
        <f>VLOOKUP("&lt;Zeilentitel_3.2&gt;",Uebersetzungen!$B$3:$E$83,Uebersetzungen!$B$2+1,FALSE)</f>
        <v>25-44</v>
      </c>
      <c r="C19" s="84">
        <v>51762.999999998538</v>
      </c>
      <c r="D19" s="95">
        <v>4.5313758844237304</v>
      </c>
      <c r="E19" s="104">
        <v>33451.809158672251</v>
      </c>
      <c r="F19" s="67">
        <v>5.819245224408883</v>
      </c>
      <c r="G19" s="104">
        <v>7424.1805002505744</v>
      </c>
      <c r="H19" s="95">
        <v>14.091863800259381</v>
      </c>
      <c r="I19" s="70">
        <v>482.79937240923579</v>
      </c>
      <c r="J19" s="97">
        <v>53.737669997916917</v>
      </c>
      <c r="K19" s="104">
        <v>1968.4454886035446</v>
      </c>
      <c r="L19" s="67">
        <v>26.706549422272609</v>
      </c>
      <c r="M19" s="104">
        <v>6258.9208496266065</v>
      </c>
      <c r="N19" s="95">
        <v>15.462125860340405</v>
      </c>
      <c r="O19" s="66">
        <v>6436.5348404582282</v>
      </c>
      <c r="P19" s="95">
        <v>14.412368801875477</v>
      </c>
      <c r="Q19" s="104">
        <v>2797.8935801223051</v>
      </c>
      <c r="R19" s="67">
        <v>23.349745854078051</v>
      </c>
      <c r="S19" s="104">
        <v>10826.776755608262</v>
      </c>
      <c r="T19" s="113">
        <v>12.013791930332742</v>
      </c>
    </row>
    <row r="20" spans="1:20" x14ac:dyDescent="0.2">
      <c r="A20" s="34"/>
      <c r="B20" s="45" t="str">
        <f>VLOOKUP("&lt;Zeilentitel_3.3&gt;",Uebersetzungen!$B$3:$E$83,Uebersetzungen!$B$2+1,FALSE)</f>
        <v>45-64</v>
      </c>
      <c r="C20" s="84">
        <v>59050.999999998596</v>
      </c>
      <c r="D20" s="95">
        <v>3.886206988336121</v>
      </c>
      <c r="E20" s="104">
        <v>38392.413138443328</v>
      </c>
      <c r="F20" s="67">
        <v>5.1245668291055742</v>
      </c>
      <c r="G20" s="104">
        <v>7558.4018765075898</v>
      </c>
      <c r="H20" s="95">
        <v>13.374475089570494</v>
      </c>
      <c r="I20" s="70">
        <v>877.37015340366702</v>
      </c>
      <c r="J20" s="97">
        <v>38.72604538942408</v>
      </c>
      <c r="K20" s="104">
        <v>3077.478889187229</v>
      </c>
      <c r="L20" s="67">
        <v>20.486999528105077</v>
      </c>
      <c r="M20" s="104">
        <v>7517.8309185693761</v>
      </c>
      <c r="N20" s="95">
        <v>13.2516825260658</v>
      </c>
      <c r="O20" s="66">
        <v>7667.7100007104927</v>
      </c>
      <c r="P20" s="95">
        <v>12.651027629743528</v>
      </c>
      <c r="Q20" s="104">
        <v>1780.672176814172</v>
      </c>
      <c r="R20" s="67">
        <v>27.000891568496712</v>
      </c>
      <c r="S20" s="104">
        <v>8471.6427192843075</v>
      </c>
      <c r="T20" s="113">
        <v>12.954212597030251</v>
      </c>
    </row>
    <row r="21" spans="1:20" x14ac:dyDescent="0.2">
      <c r="A21" s="34"/>
      <c r="B21" s="45" t="str">
        <f>VLOOKUP("&lt;Zeilentitel_3.4&gt;",Uebersetzungen!$B$3:$E$83,Uebersetzungen!$B$2+1,FALSE)</f>
        <v>65 und älter</v>
      </c>
      <c r="C21" s="84">
        <v>46454.999999998785</v>
      </c>
      <c r="D21" s="95">
        <v>4.40915179190395</v>
      </c>
      <c r="E21" s="104">
        <v>35532.809560614682</v>
      </c>
      <c r="F21" s="67">
        <v>5.2449188179710875</v>
      </c>
      <c r="G21" s="104">
        <v>3291.7969894892494</v>
      </c>
      <c r="H21" s="95">
        <v>19.447658347951879</v>
      </c>
      <c r="I21" s="70">
        <v>400.9983032693122</v>
      </c>
      <c r="J21" s="97">
        <v>55.796199450812594</v>
      </c>
      <c r="K21" s="104">
        <v>2512.0228729553874</v>
      </c>
      <c r="L21" s="67">
        <v>22.161746397470768</v>
      </c>
      <c r="M21" s="104">
        <v>3780.8394269701575</v>
      </c>
      <c r="N21" s="95">
        <v>17.9216554641797</v>
      </c>
      <c r="O21" s="66">
        <v>7271.2235190354977</v>
      </c>
      <c r="P21" s="95">
        <v>12.808317277523862</v>
      </c>
      <c r="Q21" s="106">
        <v>838.75384119034197</v>
      </c>
      <c r="R21" s="69">
        <v>38.741551490969051</v>
      </c>
      <c r="S21" s="104">
        <v>2449.9906075812646</v>
      </c>
      <c r="T21" s="113">
        <v>23.749865543748903</v>
      </c>
    </row>
    <row r="22" spans="1:20" x14ac:dyDescent="0.2">
      <c r="A22" s="30" t="str">
        <f>VLOOKUP("&lt;Zeilentitel_4&gt;",Uebersetzungen!$B$3:$E$83,Uebersetzungen!$B$2+1,FALSE)</f>
        <v>Staatsangehörigkeit</v>
      </c>
      <c r="B22" s="43" t="str">
        <f>VLOOKUP("&lt;Zeilentitel_4.1&gt;",Uebersetzungen!$B$3:$E$83,Uebersetzungen!$B$2+1,FALSE)</f>
        <v>Schweiz</v>
      </c>
      <c r="C22" s="117">
        <v>139479.99999999587</v>
      </c>
      <c r="D22" s="118">
        <v>1.3160876423396077</v>
      </c>
      <c r="E22" s="121">
        <v>111801.55569514654</v>
      </c>
      <c r="F22" s="125">
        <v>2.0040365714790629</v>
      </c>
      <c r="G22" s="121">
        <v>7629.7678438962448</v>
      </c>
      <c r="H22" s="118">
        <v>12.686551043922488</v>
      </c>
      <c r="I22" s="167">
        <v>1578.1820428789754</v>
      </c>
      <c r="J22" s="137">
        <v>28.428361204570621</v>
      </c>
      <c r="K22" s="121">
        <v>8104.6687799783967</v>
      </c>
      <c r="L22" s="125">
        <v>12.415821447407744</v>
      </c>
      <c r="M22" s="121">
        <v>11519.280716505864</v>
      </c>
      <c r="N22" s="118">
        <v>10.235042839240284</v>
      </c>
      <c r="O22" s="122">
        <v>23865.26822179207</v>
      </c>
      <c r="P22" s="118">
        <v>6.8531662913333902</v>
      </c>
      <c r="Q22" s="121">
        <v>3505.7610323745257</v>
      </c>
      <c r="R22" s="125">
        <v>19.20760582426395</v>
      </c>
      <c r="S22" s="121">
        <v>7195.3947077182647</v>
      </c>
      <c r="T22" s="126">
        <v>13.195694880233988</v>
      </c>
    </row>
    <row r="23" spans="1:20" x14ac:dyDescent="0.2">
      <c r="A23" s="32"/>
      <c r="B23" s="45" t="str">
        <f>VLOOKUP("&lt;Zeilentitel_4.2&gt;",Uebersetzungen!$B$3:$E$83,Uebersetzungen!$B$2+1,FALSE)</f>
        <v>EU und EFTA</v>
      </c>
      <c r="C23" s="84">
        <v>28464.778974147062</v>
      </c>
      <c r="D23" s="95">
        <v>6.8848591999866882</v>
      </c>
      <c r="E23" s="104">
        <v>6464.6340639834525</v>
      </c>
      <c r="F23" s="67">
        <v>14.847297309335771</v>
      </c>
      <c r="G23" s="104">
        <v>10134.149441282727</v>
      </c>
      <c r="H23" s="95">
        <v>11.930666357509914</v>
      </c>
      <c r="I23" s="70">
        <v>354.56994273325665</v>
      </c>
      <c r="J23" s="97">
        <v>69.757803790132655</v>
      </c>
      <c r="K23" s="106">
        <v>287.94948456713655</v>
      </c>
      <c r="L23" s="69">
        <v>73.938278332060605</v>
      </c>
      <c r="M23" s="104">
        <v>7549.9164103924077</v>
      </c>
      <c r="N23" s="95">
        <v>14.1698461647731</v>
      </c>
      <c r="O23" s="70">
        <v>436.77606681668681</v>
      </c>
      <c r="P23" s="97">
        <v>61.741751181411395</v>
      </c>
      <c r="Q23" s="105">
        <v>1855.0786247624815</v>
      </c>
      <c r="R23" s="69">
        <v>29.319551515364754</v>
      </c>
      <c r="S23" s="104">
        <v>11829.043916524026</v>
      </c>
      <c r="T23" s="113">
        <v>11.493360374370029</v>
      </c>
    </row>
    <row r="24" spans="1:20" x14ac:dyDescent="0.2">
      <c r="A24" s="32"/>
      <c r="B24" s="45" t="str">
        <f>VLOOKUP("&lt;Zeilentitel_4.3&gt;",Uebersetzungen!$B$3:$E$83,Uebersetzungen!$B$2+1,FALSE)</f>
        <v>Anderer europäischer Staat</v>
      </c>
      <c r="C24" s="84">
        <v>4405.496763860715</v>
      </c>
      <c r="D24" s="95">
        <v>19.787681889494554</v>
      </c>
      <c r="E24" s="105">
        <v>1054.5010940945929</v>
      </c>
      <c r="F24" s="69">
        <v>40.718667756293307</v>
      </c>
      <c r="G24" s="106">
        <v>970.45386051018716</v>
      </c>
      <c r="H24" s="97">
        <v>44.473015654889089</v>
      </c>
      <c r="I24" s="66" t="s">
        <v>279</v>
      </c>
      <c r="J24" s="95" t="s">
        <v>279</v>
      </c>
      <c r="K24" s="104" t="s">
        <v>279</v>
      </c>
      <c r="L24" s="67" t="s">
        <v>279</v>
      </c>
      <c r="M24" s="106">
        <v>273.5744067583808</v>
      </c>
      <c r="N24" s="97">
        <v>92.206013743735525</v>
      </c>
      <c r="O24" s="66" t="s">
        <v>279</v>
      </c>
      <c r="P24" s="95" t="s">
        <v>279</v>
      </c>
      <c r="Q24" s="106">
        <v>609.68940203980094</v>
      </c>
      <c r="R24" s="69">
        <v>52.657593088577336</v>
      </c>
      <c r="S24" s="104">
        <v>3464.6930676951529</v>
      </c>
      <c r="T24" s="113">
        <v>22.564988423161598</v>
      </c>
    </row>
    <row r="25" spans="1:20" x14ac:dyDescent="0.2">
      <c r="A25" s="32"/>
      <c r="B25" s="45" t="str">
        <f>VLOOKUP("&lt;Zeilentitel_4.4&gt;",Uebersetzungen!$B$3:$E$83,Uebersetzungen!$B$2+1,FALSE)</f>
        <v>Andere Staaten</v>
      </c>
      <c r="C25" s="84">
        <v>3626.7242619924309</v>
      </c>
      <c r="D25" s="95">
        <v>21.364364793245247</v>
      </c>
      <c r="E25" s="106">
        <v>615.19909239139872</v>
      </c>
      <c r="F25" s="69">
        <v>53.435185493213815</v>
      </c>
      <c r="G25" s="105">
        <v>1372.0086646665764</v>
      </c>
      <c r="H25" s="97">
        <v>34.390893091390609</v>
      </c>
      <c r="I25" s="66" t="s">
        <v>279</v>
      </c>
      <c r="J25" s="95" t="s">
        <v>279</v>
      </c>
      <c r="K25" s="104" t="s">
        <v>279</v>
      </c>
      <c r="L25" s="67" t="s">
        <v>279</v>
      </c>
      <c r="M25" s="106">
        <v>182.65852139314651</v>
      </c>
      <c r="N25" s="97">
        <v>86.924958564852517</v>
      </c>
      <c r="O25" s="66" t="s">
        <v>279</v>
      </c>
      <c r="P25" s="95" t="s">
        <v>279</v>
      </c>
      <c r="Q25" s="106">
        <v>375.18652605198588</v>
      </c>
      <c r="R25" s="69">
        <v>61.954024475322115</v>
      </c>
      <c r="S25" s="104">
        <v>2694.1902511204189</v>
      </c>
      <c r="T25" s="113">
        <v>25.081679873441345</v>
      </c>
    </row>
    <row r="26" spans="1:20" x14ac:dyDescent="0.2">
      <c r="A26" s="31"/>
      <c r="B26" s="45" t="str">
        <f>VLOOKUP("&lt;Zeilentitel_4.5&gt;",Uebersetzungen!$B$3:$E$83,Uebersetzungen!$B$2+1,FALSE)</f>
        <v>Staatsangehörigkeit unbekannt</v>
      </c>
      <c r="C26" s="127" t="s">
        <v>279</v>
      </c>
      <c r="D26" s="128" t="s">
        <v>279</v>
      </c>
      <c r="E26" s="130" t="s">
        <v>279</v>
      </c>
      <c r="F26" s="76" t="s">
        <v>279</v>
      </c>
      <c r="G26" s="130" t="s">
        <v>279</v>
      </c>
      <c r="H26" s="128" t="s">
        <v>279</v>
      </c>
      <c r="I26" s="75" t="s">
        <v>279</v>
      </c>
      <c r="J26" s="128" t="s">
        <v>279</v>
      </c>
      <c r="K26" s="130" t="s">
        <v>279</v>
      </c>
      <c r="L26" s="76" t="s">
        <v>279</v>
      </c>
      <c r="M26" s="130" t="s">
        <v>279</v>
      </c>
      <c r="N26" s="128" t="s">
        <v>279</v>
      </c>
      <c r="O26" s="75" t="s">
        <v>279</v>
      </c>
      <c r="P26" s="128" t="s">
        <v>279</v>
      </c>
      <c r="Q26" s="130" t="s">
        <v>279</v>
      </c>
      <c r="R26" s="76" t="s">
        <v>279</v>
      </c>
      <c r="S26" s="130" t="s">
        <v>279</v>
      </c>
      <c r="T26" s="133" t="s">
        <v>279</v>
      </c>
    </row>
    <row r="27" spans="1:20" x14ac:dyDescent="0.2">
      <c r="A27" s="30" t="str">
        <f>VLOOKUP("&lt;Zeilentitel_5&gt;",Uebersetzungen!$B$3:$E$83,Uebersetzungen!$B$2+1,FALSE)</f>
        <v>Migrationsstatus</v>
      </c>
      <c r="B27" s="43" t="str">
        <f>VLOOKUP("&lt;Zeilentitel_5.1&gt;",Uebersetzungen!$B$3:$E$83,Uebersetzungen!$B$2+1,FALSE)</f>
        <v>Schweizer/innen ohne Migrationshintergrund</v>
      </c>
      <c r="C27" s="84">
        <v>122172.64107475645</v>
      </c>
      <c r="D27" s="95">
        <v>1.7493769218530069</v>
      </c>
      <c r="E27" s="104">
        <v>101049.71732420936</v>
      </c>
      <c r="F27" s="67">
        <v>2.2934129735193265</v>
      </c>
      <c r="G27" s="104">
        <v>3838.672596015007</v>
      </c>
      <c r="H27" s="95">
        <v>18.209203365146639</v>
      </c>
      <c r="I27" s="68">
        <v>1169.8864690763501</v>
      </c>
      <c r="J27" s="97">
        <v>33.108207273772294</v>
      </c>
      <c r="K27" s="104">
        <v>7350.8839470341845</v>
      </c>
      <c r="L27" s="67">
        <v>13.08143982219225</v>
      </c>
      <c r="M27" s="104">
        <v>8500.3669992835039</v>
      </c>
      <c r="N27" s="95">
        <v>12.040443352918894</v>
      </c>
      <c r="O27" s="66">
        <v>23150.201231546191</v>
      </c>
      <c r="P27" s="95">
        <v>6.9770949607701356</v>
      </c>
      <c r="Q27" s="104">
        <v>2586.0098139430502</v>
      </c>
      <c r="R27" s="67">
        <v>22.562882932144809</v>
      </c>
      <c r="S27" s="104">
        <v>1823.9766139241376</v>
      </c>
      <c r="T27" s="113">
        <v>26.510924556081854</v>
      </c>
    </row>
    <row r="28" spans="1:20" x14ac:dyDescent="0.2">
      <c r="A28" s="32"/>
      <c r="B28" s="45" t="str">
        <f>VLOOKUP("&lt;Zeilentitel_5.2&gt;",Uebersetzungen!$B$3:$E$83,Uebersetzungen!$B$2+1,FALSE)</f>
        <v>Schweizer/innen mit Migrationshintergrund</v>
      </c>
      <c r="C28" s="84">
        <v>16792.664144571507</v>
      </c>
      <c r="D28" s="95">
        <v>8.3186880237247642</v>
      </c>
      <c r="E28" s="104">
        <v>10386.185062136057</v>
      </c>
      <c r="F28" s="67">
        <v>10.785215583660127</v>
      </c>
      <c r="G28" s="104">
        <v>3755.6533148955659</v>
      </c>
      <c r="H28" s="95">
        <v>18.174551768142567</v>
      </c>
      <c r="I28" s="70">
        <v>369.50773272655027</v>
      </c>
      <c r="J28" s="97">
        <v>58.290822404277677</v>
      </c>
      <c r="K28" s="106">
        <v>679.18138585042618</v>
      </c>
      <c r="L28" s="69">
        <v>43.165740722696711</v>
      </c>
      <c r="M28" s="104">
        <v>3018.9137172223482</v>
      </c>
      <c r="N28" s="95">
        <v>20.457241112470378</v>
      </c>
      <c r="O28" s="70">
        <v>603.49977276741947</v>
      </c>
      <c r="P28" s="97">
        <v>45.545775138513193</v>
      </c>
      <c r="Q28" s="106">
        <v>919.75121843147554</v>
      </c>
      <c r="R28" s="69">
        <v>37.124061557457487</v>
      </c>
      <c r="S28" s="104">
        <v>5299.3252633807242</v>
      </c>
      <c r="T28" s="113">
        <v>15.484689495443465</v>
      </c>
    </row>
    <row r="29" spans="1:20" x14ac:dyDescent="0.2">
      <c r="A29" s="32"/>
      <c r="B29" s="45" t="str">
        <f>VLOOKUP("&lt;Zeilentitel_5.3&gt;",Uebersetzungen!$B$3:$E$83,Uebersetzungen!$B$2+1,FALSE)</f>
        <v>Ausländer/innen der ersten Generation</v>
      </c>
      <c r="C29" s="84">
        <v>34475.342092880506</v>
      </c>
      <c r="D29" s="95">
        <v>6.230446548843374</v>
      </c>
      <c r="E29" s="104">
        <v>7182.5927651069405</v>
      </c>
      <c r="F29" s="67">
        <v>14.395990414318636</v>
      </c>
      <c r="G29" s="104">
        <v>11975.717756079464</v>
      </c>
      <c r="H29" s="95">
        <v>11.046194968326636</v>
      </c>
      <c r="I29" s="70">
        <v>354.56994273325665</v>
      </c>
      <c r="J29" s="97">
        <v>69.757803790132655</v>
      </c>
      <c r="K29" s="106">
        <v>255.49559884755919</v>
      </c>
      <c r="L29" s="69">
        <v>79.645357620291676</v>
      </c>
      <c r="M29" s="104">
        <v>7464.7791824355245</v>
      </c>
      <c r="N29" s="95">
        <v>14.399360524239473</v>
      </c>
      <c r="O29" s="70">
        <v>391.17402753639033</v>
      </c>
      <c r="P29" s="97">
        <v>65.168773140179425</v>
      </c>
      <c r="Q29" s="104">
        <v>2751.4704499659961</v>
      </c>
      <c r="R29" s="67">
        <v>23.985957442266884</v>
      </c>
      <c r="S29" s="104">
        <v>16970.772771903747</v>
      </c>
      <c r="T29" s="113">
        <v>9.5670840638928105</v>
      </c>
    </row>
    <row r="30" spans="1:20" ht="25.5" x14ac:dyDescent="0.2">
      <c r="A30" s="32"/>
      <c r="B30" s="45" t="str">
        <f>VLOOKUP("&lt;Zeilentitel_5.4&gt;",Uebersetzungen!$B$3:$E$83,Uebersetzungen!$B$2+1,FALSE)</f>
        <v>Ausländer/innen der zweiten und höheren Generation</v>
      </c>
      <c r="C30" s="85">
        <v>2021.6579071196713</v>
      </c>
      <c r="D30" s="97">
        <v>28.076510886061921</v>
      </c>
      <c r="E30" s="106">
        <v>951.74148536250277</v>
      </c>
      <c r="F30" s="69">
        <v>38.967690385348682</v>
      </c>
      <c r="G30" s="106">
        <v>500.89421038002195</v>
      </c>
      <c r="H30" s="97">
        <v>60.523833764521704</v>
      </c>
      <c r="I30" s="66" t="s">
        <v>279</v>
      </c>
      <c r="J30" s="95" t="s">
        <v>279</v>
      </c>
      <c r="K30" s="104" t="s">
        <v>279</v>
      </c>
      <c r="L30" s="67" t="s">
        <v>279</v>
      </c>
      <c r="M30" s="106">
        <v>541.37015610840979</v>
      </c>
      <c r="N30" s="97">
        <v>51.85169955817392</v>
      </c>
      <c r="O30" s="66" t="s">
        <v>279</v>
      </c>
      <c r="P30" s="95" t="s">
        <v>279</v>
      </c>
      <c r="Q30" s="104" t="s">
        <v>279</v>
      </c>
      <c r="R30" s="67" t="s">
        <v>279</v>
      </c>
      <c r="S30" s="105">
        <v>1017.1544634358428</v>
      </c>
      <c r="T30" s="114">
        <v>41.916236841991996</v>
      </c>
    </row>
    <row r="31" spans="1:20" x14ac:dyDescent="0.2">
      <c r="A31" s="31"/>
      <c r="B31" s="45" t="str">
        <f>VLOOKUP("&lt;Zeilentitel_5.5&gt;",Uebersetzungen!$B$3:$E$83,Uebersetzungen!$B$2+1,FALSE)</f>
        <v>Migrationshintergrund unbekannt</v>
      </c>
      <c r="C31" s="86">
        <v>514.69478066784814</v>
      </c>
      <c r="D31" s="97">
        <v>50.328158876178726</v>
      </c>
      <c r="E31" s="106">
        <v>365.65330880103193</v>
      </c>
      <c r="F31" s="69">
        <v>58.864741073190842</v>
      </c>
      <c r="G31" s="104" t="s">
        <v>279</v>
      </c>
      <c r="H31" s="95" t="s">
        <v>279</v>
      </c>
      <c r="I31" s="66" t="s">
        <v>279</v>
      </c>
      <c r="J31" s="95" t="s">
        <v>279</v>
      </c>
      <c r="K31" s="104" t="s">
        <v>279</v>
      </c>
      <c r="L31" s="67" t="s">
        <v>279</v>
      </c>
      <c r="M31" s="104" t="s">
        <v>279</v>
      </c>
      <c r="N31" s="95" t="s">
        <v>279</v>
      </c>
      <c r="O31" s="66" t="s">
        <v>279</v>
      </c>
      <c r="P31" s="95" t="s">
        <v>279</v>
      </c>
      <c r="Q31" s="104" t="s">
        <v>279</v>
      </c>
      <c r="R31" s="67" t="s">
        <v>279</v>
      </c>
      <c r="S31" s="104" t="s">
        <v>279</v>
      </c>
      <c r="T31" s="113" t="s">
        <v>279</v>
      </c>
    </row>
    <row r="32" spans="1:20" x14ac:dyDescent="0.2">
      <c r="A32" s="30" t="str">
        <f>VLOOKUP("&lt;Zeilentitel_6&gt;",Uebersetzungen!$B$3:$E$83,Uebersetzungen!$B$2+1,FALSE)</f>
        <v>Arbeitsmarktstatus</v>
      </c>
      <c r="B32" s="43" t="str">
        <f>VLOOKUP("&lt;T2Zeilentitel_6.1&gt;",Uebersetzungen!$B$3:$E$83,Uebersetzungen!$B$2+1,FALSE)</f>
        <v>Erwerbstätige</v>
      </c>
      <c r="C32" s="117">
        <v>110190.32702338927</v>
      </c>
      <c r="D32" s="118">
        <v>2.2402588065625362</v>
      </c>
      <c r="E32" s="121">
        <v>74062.300312065447</v>
      </c>
      <c r="F32" s="125">
        <v>3.2256252381007608</v>
      </c>
      <c r="G32" s="121">
        <v>14085.579288108718</v>
      </c>
      <c r="H32" s="118">
        <v>9.878077527290781</v>
      </c>
      <c r="I32" s="167">
        <v>1206.8017002517479</v>
      </c>
      <c r="J32" s="137">
        <v>33.189722265176478</v>
      </c>
      <c r="K32" s="121">
        <v>4319.1729348908493</v>
      </c>
      <c r="L32" s="125">
        <v>17.400564253801804</v>
      </c>
      <c r="M32" s="121">
        <v>12794.303397701444</v>
      </c>
      <c r="N32" s="118">
        <v>10.316333081988018</v>
      </c>
      <c r="O32" s="122">
        <v>15090.43860808317</v>
      </c>
      <c r="P32" s="118">
        <v>8.9799281972257425</v>
      </c>
      <c r="Q32" s="121">
        <v>4308.905143292438</v>
      </c>
      <c r="R32" s="125">
        <v>18.24805154211893</v>
      </c>
      <c r="S32" s="121">
        <v>18548.705435302902</v>
      </c>
      <c r="T32" s="126">
        <v>8.8567494960828252</v>
      </c>
    </row>
    <row r="33" spans="1:20" x14ac:dyDescent="0.2">
      <c r="A33" s="32"/>
      <c r="B33" s="45" t="str">
        <f>VLOOKUP("&lt;T2Zeilentitel_6.2&gt;",Uebersetzungen!$B$3:$E$83,Uebersetzungen!$B$2+1,FALSE)</f>
        <v>Erwerbslose</v>
      </c>
      <c r="C33" s="84">
        <v>2284.4069618137946</v>
      </c>
      <c r="D33" s="95">
        <v>25.177421180026492</v>
      </c>
      <c r="E33" s="106">
        <v>945.57590181844091</v>
      </c>
      <c r="F33" s="69">
        <v>38.433832063824674</v>
      </c>
      <c r="G33" s="106">
        <v>489.50087445528385</v>
      </c>
      <c r="H33" s="97">
        <v>54.096735816135727</v>
      </c>
      <c r="I33" s="66" t="s">
        <v>279</v>
      </c>
      <c r="J33" s="95" t="s">
        <v>279</v>
      </c>
      <c r="K33" s="106">
        <v>229.14396532393246</v>
      </c>
      <c r="L33" s="69">
        <v>79.137914175543386</v>
      </c>
      <c r="M33" s="106">
        <v>474.24068344085492</v>
      </c>
      <c r="N33" s="97">
        <v>56.703738704417056</v>
      </c>
      <c r="O33" s="66" t="s">
        <v>279</v>
      </c>
      <c r="P33" s="95" t="s">
        <v>279</v>
      </c>
      <c r="Q33" s="106">
        <v>192.72798182450333</v>
      </c>
      <c r="R33" s="69">
        <v>87.99661590484655</v>
      </c>
      <c r="S33" s="106">
        <v>501.96108091390681</v>
      </c>
      <c r="T33" s="114">
        <v>54.06412802701513</v>
      </c>
    </row>
    <row r="34" spans="1:20" x14ac:dyDescent="0.2">
      <c r="A34" s="31"/>
      <c r="B34" s="45" t="str">
        <f>VLOOKUP("&lt;T2Zeilentitel_6.3&gt;",Uebersetzungen!$B$3:$E$83,Uebersetzungen!$B$2+1,FALSE)</f>
        <v>Nichterwerbspersonen</v>
      </c>
      <c r="C34" s="127">
        <v>63502.266014792644</v>
      </c>
      <c r="D34" s="128">
        <v>3.6135246280747295</v>
      </c>
      <c r="E34" s="130">
        <v>44928.013731731597</v>
      </c>
      <c r="F34" s="76">
        <v>4.5675108438939436</v>
      </c>
      <c r="G34" s="130">
        <v>5531.2996477917231</v>
      </c>
      <c r="H34" s="128">
        <v>15.677764983977038</v>
      </c>
      <c r="I34" s="174">
        <v>725.95028536048414</v>
      </c>
      <c r="J34" s="132">
        <v>44.105347680824693</v>
      </c>
      <c r="K34" s="130">
        <v>3844.3013643307495</v>
      </c>
      <c r="L34" s="76">
        <v>18.108487404059549</v>
      </c>
      <c r="M34" s="130">
        <v>6256.8859739074842</v>
      </c>
      <c r="N34" s="128">
        <v>14.285080670182202</v>
      </c>
      <c r="O34" s="75">
        <v>9108.6010169320525</v>
      </c>
      <c r="P34" s="128">
        <v>11.48472242354678</v>
      </c>
      <c r="Q34" s="130">
        <v>1844.0824601118513</v>
      </c>
      <c r="R34" s="76">
        <v>27.382514498248213</v>
      </c>
      <c r="S34" s="130">
        <v>6132.6554268410364</v>
      </c>
      <c r="T34" s="133">
        <v>15.60441266123806</v>
      </c>
    </row>
    <row r="35" spans="1:20" x14ac:dyDescent="0.2">
      <c r="A35" s="32" t="str">
        <f>VLOOKUP("&lt;Zeilentitel_7&gt;",Uebersetzungen!$B$3:$E$83,Uebersetzungen!$B$2+1,FALSE)</f>
        <v>Sozioprofessionelle Kategorien</v>
      </c>
      <c r="B35" s="43" t="str">
        <f>VLOOKUP("&lt;Zeilentitel_7.1&gt;",Uebersetzungen!$B$3:$E$83,Uebersetzungen!$B$2+1,FALSE)</f>
        <v>Oberstes Management</v>
      </c>
      <c r="C35" s="84">
        <v>2591.821881584016</v>
      </c>
      <c r="D35" s="95">
        <v>22.096779166267048</v>
      </c>
      <c r="E35" s="104">
        <v>1927.4363106906676</v>
      </c>
      <c r="F35" s="67">
        <v>25.530375883934539</v>
      </c>
      <c r="G35" s="106">
        <v>429.85605361610862</v>
      </c>
      <c r="H35" s="97">
        <v>56.29551335556269</v>
      </c>
      <c r="I35" s="66" t="s">
        <v>279</v>
      </c>
      <c r="J35" s="95" t="s">
        <v>279</v>
      </c>
      <c r="K35" s="104" t="s">
        <v>279</v>
      </c>
      <c r="L35" s="67" t="s">
        <v>279</v>
      </c>
      <c r="M35" s="106">
        <v>264.50562502304251</v>
      </c>
      <c r="N35" s="97">
        <v>68.351722746850925</v>
      </c>
      <c r="O35" s="70">
        <v>419.97490316039375</v>
      </c>
      <c r="P35" s="97">
        <v>53.612630135254761</v>
      </c>
      <c r="Q35" s="106">
        <v>252.58320729334002</v>
      </c>
      <c r="R35" s="69">
        <v>73.587237710949722</v>
      </c>
      <c r="S35" s="106">
        <v>238.09125733869553</v>
      </c>
      <c r="T35" s="114">
        <v>73.079229833075857</v>
      </c>
    </row>
    <row r="36" spans="1:20" x14ac:dyDescent="0.2">
      <c r="A36" s="33"/>
      <c r="B36" s="45" t="str">
        <f>VLOOKUP("&lt;Zeilentitel_7.2&gt;",Uebersetzungen!$B$3:$E$83,Uebersetzungen!$B$2+1,FALSE)</f>
        <v>Freie und gleichgestellte Berufe</v>
      </c>
      <c r="C36" s="84">
        <v>2772.6059416691332</v>
      </c>
      <c r="D36" s="95">
        <v>21.257825256075535</v>
      </c>
      <c r="E36" s="104">
        <v>1921.7441999463858</v>
      </c>
      <c r="F36" s="67">
        <v>25.294632560573014</v>
      </c>
      <c r="G36" s="106">
        <v>377.56744939452608</v>
      </c>
      <c r="H36" s="97">
        <v>58.520207437267615</v>
      </c>
      <c r="I36" s="66" t="s">
        <v>279</v>
      </c>
      <c r="J36" s="95" t="s">
        <v>279</v>
      </c>
      <c r="K36" s="104" t="s">
        <v>279</v>
      </c>
      <c r="L36" s="67" t="s">
        <v>279</v>
      </c>
      <c r="M36" s="106">
        <v>406.09266113907523</v>
      </c>
      <c r="N36" s="97">
        <v>56.019837908465242</v>
      </c>
      <c r="O36" s="70">
        <v>348.63070000082155</v>
      </c>
      <c r="P36" s="97">
        <v>61.298042422384974</v>
      </c>
      <c r="Q36" s="106">
        <v>344.38304120608916</v>
      </c>
      <c r="R36" s="69">
        <v>61.238280323817548</v>
      </c>
      <c r="S36" s="106">
        <v>254.45882330507516</v>
      </c>
      <c r="T36" s="114">
        <v>73.543758484128844</v>
      </c>
    </row>
    <row r="37" spans="1:20" x14ac:dyDescent="0.2">
      <c r="A37" s="34"/>
      <c r="B37" s="45" t="str">
        <f>VLOOKUP("&lt;Zeilentitel_7.3&gt;",Uebersetzungen!$B$3:$E$83,Uebersetzungen!$B$2+1,FALSE)</f>
        <v>Andere Selbstständige</v>
      </c>
      <c r="C37" s="84">
        <v>13585.627488911183</v>
      </c>
      <c r="D37" s="95">
        <v>9.6193425282333873</v>
      </c>
      <c r="E37" s="104">
        <v>9914.3020476659894</v>
      </c>
      <c r="F37" s="67">
        <v>11.296352055490406</v>
      </c>
      <c r="G37" s="105">
        <v>1340.9360991587328</v>
      </c>
      <c r="H37" s="97">
        <v>32.090304380492839</v>
      </c>
      <c r="I37" s="66" t="s">
        <v>279</v>
      </c>
      <c r="J37" s="95" t="s">
        <v>279</v>
      </c>
      <c r="K37" s="106">
        <v>573.31794424146301</v>
      </c>
      <c r="L37" s="69">
        <v>48.561414915024073</v>
      </c>
      <c r="M37" s="105">
        <v>1508.5246168986218</v>
      </c>
      <c r="N37" s="97">
        <v>30.286842166921147</v>
      </c>
      <c r="O37" s="66">
        <v>1919.6024655530007</v>
      </c>
      <c r="P37" s="95">
        <v>26.247871493898575</v>
      </c>
      <c r="Q37" s="106">
        <v>316.33801537007196</v>
      </c>
      <c r="R37" s="69">
        <v>64.462288622996937</v>
      </c>
      <c r="S37" s="106">
        <v>953.61423107027417</v>
      </c>
      <c r="T37" s="114">
        <v>42.728065870685533</v>
      </c>
    </row>
    <row r="38" spans="1:20" x14ac:dyDescent="0.2">
      <c r="A38" s="34"/>
      <c r="B38" s="45" t="str">
        <f>VLOOKUP("&lt;Zeilentitel_7.4&gt;",Uebersetzungen!$B$3:$E$83,Uebersetzungen!$B$2+1,FALSE)</f>
        <v>Akademische Berufe und oberes Kader</v>
      </c>
      <c r="C38" s="84">
        <v>16516.630569380319</v>
      </c>
      <c r="D38" s="95">
        <v>8.5095799786306721</v>
      </c>
      <c r="E38" s="104">
        <v>12027.763639906665</v>
      </c>
      <c r="F38" s="67">
        <v>9.9867330810476869</v>
      </c>
      <c r="G38" s="104">
        <v>3242.4708915497254</v>
      </c>
      <c r="H38" s="95">
        <v>20.50983800280606</v>
      </c>
      <c r="I38" s="70">
        <v>239.48233782341455</v>
      </c>
      <c r="J38" s="97">
        <v>73.150208214898896</v>
      </c>
      <c r="K38" s="106">
        <v>783.38756148949108</v>
      </c>
      <c r="L38" s="69">
        <v>40.375216947385134</v>
      </c>
      <c r="M38" s="105">
        <v>1646.9884726340536</v>
      </c>
      <c r="N38" s="97">
        <v>28.952393345069716</v>
      </c>
      <c r="O38" s="66">
        <v>2030.080505212582</v>
      </c>
      <c r="P38" s="95">
        <v>24.878762000333165</v>
      </c>
      <c r="Q38" s="105">
        <v>1040.5582035835839</v>
      </c>
      <c r="R38" s="69">
        <v>36.925976288593844</v>
      </c>
      <c r="S38" s="105">
        <v>1674.3045356614703</v>
      </c>
      <c r="T38" s="114">
        <v>28.715161095532768</v>
      </c>
    </row>
    <row r="39" spans="1:20" x14ac:dyDescent="0.2">
      <c r="A39" s="34"/>
      <c r="B39" s="45" t="str">
        <f>VLOOKUP("&lt;Zeilentitel_7.5&gt;",Uebersetzungen!$B$3:$E$83,Uebersetzungen!$B$2+1,FALSE)</f>
        <v>Intermediäre Berufe</v>
      </c>
      <c r="C39" s="84">
        <v>31500.389602709791</v>
      </c>
      <c r="D39" s="95">
        <v>6.0706703697586724</v>
      </c>
      <c r="E39" s="104">
        <v>21510.110033288336</v>
      </c>
      <c r="F39" s="67">
        <v>7.3856835833396506</v>
      </c>
      <c r="G39" s="104">
        <v>4241.0222311771267</v>
      </c>
      <c r="H39" s="95">
        <v>18.735491671917398</v>
      </c>
      <c r="I39" s="70">
        <v>361.65311574536452</v>
      </c>
      <c r="J39" s="97">
        <v>61.363399474873241</v>
      </c>
      <c r="K39" s="105">
        <v>1172.8573465983493</v>
      </c>
      <c r="L39" s="69">
        <v>33.832313311832714</v>
      </c>
      <c r="M39" s="104">
        <v>3670.0920319605461</v>
      </c>
      <c r="N39" s="95">
        <v>20.018810943890465</v>
      </c>
      <c r="O39" s="66">
        <v>4090.1824254990966</v>
      </c>
      <c r="P39" s="95">
        <v>17.869335526386994</v>
      </c>
      <c r="Q39" s="105">
        <v>1304.7160961792547</v>
      </c>
      <c r="R39" s="69">
        <v>34.173673474046943</v>
      </c>
      <c r="S39" s="104">
        <v>5872.0871504015822</v>
      </c>
      <c r="T39" s="113">
        <v>16.363693007261617</v>
      </c>
    </row>
    <row r="40" spans="1:20" x14ac:dyDescent="0.2">
      <c r="A40" s="34"/>
      <c r="B40" s="45" t="str">
        <f>VLOOKUP("&lt;Zeilentitel_7.6&gt;",Uebersetzungen!$B$3:$E$83,Uebersetzungen!$B$2+1,FALSE)</f>
        <v>Qualifizierte nichtmanuelle Berufe</v>
      </c>
      <c r="C40" s="84">
        <v>23605.686619492506</v>
      </c>
      <c r="D40" s="95">
        <v>7.0821137163126417</v>
      </c>
      <c r="E40" s="104">
        <v>16631.259899514327</v>
      </c>
      <c r="F40" s="67">
        <v>8.5075346647372747</v>
      </c>
      <c r="G40" s="104">
        <v>2424.1930055657936</v>
      </c>
      <c r="H40" s="95">
        <v>24.683887923063899</v>
      </c>
      <c r="I40" s="66" t="s">
        <v>279</v>
      </c>
      <c r="J40" s="95" t="s">
        <v>279</v>
      </c>
      <c r="K40" s="106">
        <v>878.33701747438124</v>
      </c>
      <c r="L40" s="69">
        <v>38.723640887783077</v>
      </c>
      <c r="M40" s="104">
        <v>2716.7196076322066</v>
      </c>
      <c r="N40" s="95">
        <v>22.564266889321313</v>
      </c>
      <c r="O40" s="66">
        <v>3610.2087955619613</v>
      </c>
      <c r="P40" s="95">
        <v>19.112925208864294</v>
      </c>
      <c r="Q40" s="106">
        <v>732.16054668622792</v>
      </c>
      <c r="R40" s="69">
        <v>46.205276307699833</v>
      </c>
      <c r="S40" s="104">
        <v>3155.3482999362486</v>
      </c>
      <c r="T40" s="113">
        <v>21.616814423828561</v>
      </c>
    </row>
    <row r="41" spans="1:20" x14ac:dyDescent="0.2">
      <c r="A41" s="34"/>
      <c r="B41" s="45" t="str">
        <f>VLOOKUP("&lt;Zeilentitel_7.7&gt;",Uebersetzungen!$B$3:$E$83,Uebersetzungen!$B$2+1,FALSE)</f>
        <v>Qualifizierte manuelle Berufe</v>
      </c>
      <c r="C41" s="84">
        <v>9675.5097240627765</v>
      </c>
      <c r="D41" s="95">
        <v>12.183978199175273</v>
      </c>
      <c r="E41" s="104">
        <v>5876.8859790805209</v>
      </c>
      <c r="F41" s="67">
        <v>15.303882382861744</v>
      </c>
      <c r="G41" s="105">
        <v>1030.4367739977902</v>
      </c>
      <c r="H41" s="97">
        <v>41.048274065814326</v>
      </c>
      <c r="I41" s="66" t="s">
        <v>279</v>
      </c>
      <c r="J41" s="95" t="s">
        <v>279</v>
      </c>
      <c r="K41" s="106">
        <v>341.19577119565719</v>
      </c>
      <c r="L41" s="69">
        <v>64.725068398009739</v>
      </c>
      <c r="M41" s="105">
        <v>1104.6012315791436</v>
      </c>
      <c r="N41" s="97">
        <v>38.574756358351095</v>
      </c>
      <c r="O41" s="68">
        <v>1748.6632794759373</v>
      </c>
      <c r="P41" s="97">
        <v>27.883747507626445</v>
      </c>
      <c r="Q41" s="104" t="s">
        <v>279</v>
      </c>
      <c r="R41" s="67" t="s">
        <v>279</v>
      </c>
      <c r="S41" s="105">
        <v>2190.6355655702337</v>
      </c>
      <c r="T41" s="114">
        <v>28.34521389936501</v>
      </c>
    </row>
    <row r="42" spans="1:20" x14ac:dyDescent="0.2">
      <c r="A42" s="34"/>
      <c r="B42" s="45" t="str">
        <f>VLOOKUP("&lt;Zeilentitel_7.8&gt;",Uebersetzungen!$B$3:$E$83,Uebersetzungen!$B$2+1,FALSE)</f>
        <v>Ungelernte Angestellte und Arbeiter</v>
      </c>
      <c r="C42" s="84">
        <v>5853.1832767080768</v>
      </c>
      <c r="D42" s="95">
        <v>16.140312244326317</v>
      </c>
      <c r="E42" s="105">
        <v>1581.8243708202028</v>
      </c>
      <c r="F42" s="69">
        <v>29.621265396083501</v>
      </c>
      <c r="G42" s="106">
        <v>517.06408675980413</v>
      </c>
      <c r="H42" s="97">
        <v>53.993281127461913</v>
      </c>
      <c r="I42" s="66" t="s">
        <v>279</v>
      </c>
      <c r="J42" s="95" t="s">
        <v>279</v>
      </c>
      <c r="K42" s="104" t="s">
        <v>279</v>
      </c>
      <c r="L42" s="67" t="s">
        <v>279</v>
      </c>
      <c r="M42" s="105">
        <v>1037.6967534922544</v>
      </c>
      <c r="N42" s="97">
        <v>39.146669020408154</v>
      </c>
      <c r="O42" s="70">
        <v>400.91127728353877</v>
      </c>
      <c r="P42" s="97">
        <v>59.023128235042016</v>
      </c>
      <c r="Q42" s="104" t="s">
        <v>279</v>
      </c>
      <c r="R42" s="67" t="s">
        <v>279</v>
      </c>
      <c r="S42" s="104">
        <v>3385.7489485072992</v>
      </c>
      <c r="T42" s="113">
        <v>21.786789369413032</v>
      </c>
    </row>
    <row r="43" spans="1:20" ht="25.5" customHeight="1" x14ac:dyDescent="0.2">
      <c r="A43" s="34"/>
      <c r="B43" s="45" t="str">
        <f>VLOOKUP("&lt;Zeilentitel_7.9&gt;",Uebersetzungen!$B$3:$E$83,Uebersetzungen!$B$2+1,FALSE)</f>
        <v>Lernende in dualer beruflicher Grundbildung (Lehrlinge)</v>
      </c>
      <c r="C43" s="84">
        <v>2635.7418494780122</v>
      </c>
      <c r="D43" s="95">
        <v>22.722475697722587</v>
      </c>
      <c r="E43" s="104">
        <v>1830.7115605575605</v>
      </c>
      <c r="F43" s="67">
        <v>26.509376672509532</v>
      </c>
      <c r="G43" s="106">
        <v>217.40142565651604</v>
      </c>
      <c r="H43" s="97">
        <v>89.002024086858043</v>
      </c>
      <c r="I43" s="66" t="s">
        <v>279</v>
      </c>
      <c r="J43" s="95" t="s">
        <v>279</v>
      </c>
      <c r="K43" s="106">
        <v>171.20454002362709</v>
      </c>
      <c r="L43" s="69">
        <v>86.422417015203266</v>
      </c>
      <c r="M43" s="106">
        <v>363.47777460238899</v>
      </c>
      <c r="N43" s="97">
        <v>62.233139114564885</v>
      </c>
      <c r="O43" s="70">
        <v>340.53299497566502</v>
      </c>
      <c r="P43" s="97">
        <v>61.146984512701252</v>
      </c>
      <c r="Q43" s="104" t="s">
        <v>279</v>
      </c>
      <c r="R43" s="67" t="s">
        <v>279</v>
      </c>
      <c r="S43" s="106">
        <v>369.15051700887716</v>
      </c>
      <c r="T43" s="114">
        <v>64.840228961781293</v>
      </c>
    </row>
    <row r="44" spans="1:20" ht="38.25" x14ac:dyDescent="0.2">
      <c r="A44" s="34"/>
      <c r="B44" s="45" t="str">
        <f>VLOOKUP("&lt;Zeilentitel_7.10&gt;",Uebersetzungen!$B$3:$E$83,Uebersetzungen!$B$2+1,FALSE)</f>
        <v>Nicht zuteilbare Erwerbstätige (fehlende oder unklare Basisdaten oder unplausible Kombination)</v>
      </c>
      <c r="C44" s="85">
        <v>1453.1300693931603</v>
      </c>
      <c r="D44" s="97">
        <v>31.192680984634492</v>
      </c>
      <c r="E44" s="106">
        <v>840.26227059480755</v>
      </c>
      <c r="F44" s="69">
        <v>40.570013370378568</v>
      </c>
      <c r="G44" s="106">
        <v>264.6312712326162</v>
      </c>
      <c r="H44" s="97">
        <v>74.615802301254348</v>
      </c>
      <c r="I44" s="66" t="s">
        <v>279</v>
      </c>
      <c r="J44" s="95" t="s">
        <v>279</v>
      </c>
      <c r="K44" s="104" t="s">
        <v>279</v>
      </c>
      <c r="L44" s="67" t="s">
        <v>279</v>
      </c>
      <c r="M44" s="104" t="s">
        <v>279</v>
      </c>
      <c r="N44" s="95" t="s">
        <v>279</v>
      </c>
      <c r="O44" s="70">
        <v>181.65126136017898</v>
      </c>
      <c r="P44" s="97">
        <v>86.788856013072049</v>
      </c>
      <c r="Q44" s="104" t="s">
        <v>279</v>
      </c>
      <c r="R44" s="67" t="s">
        <v>279</v>
      </c>
      <c r="S44" s="106">
        <v>455.26610650315519</v>
      </c>
      <c r="T44" s="114">
        <v>59.068606325074214</v>
      </c>
    </row>
    <row r="45" spans="1:20" x14ac:dyDescent="0.2">
      <c r="A45" s="34"/>
      <c r="B45" s="45" t="str">
        <f>VLOOKUP("&lt;Zeilentitel_7.11&gt;",Uebersetzungen!$B$3:$E$83,Uebersetzungen!$B$2+1,FALSE)</f>
        <v>Erwerbslose und Nichterwerbspersonen</v>
      </c>
      <c r="C45" s="84">
        <v>65786.672976606395</v>
      </c>
      <c r="D45" s="95">
        <v>3.5246268704900596</v>
      </c>
      <c r="E45" s="104">
        <v>45873.589633550015</v>
      </c>
      <c r="F45" s="67">
        <v>4.509182924955649</v>
      </c>
      <c r="G45" s="104">
        <v>6020.8005222470074</v>
      </c>
      <c r="H45" s="95">
        <v>15.022066481254544</v>
      </c>
      <c r="I45" s="70">
        <v>725.95028536048414</v>
      </c>
      <c r="J45" s="97">
        <v>44.105347680824693</v>
      </c>
      <c r="K45" s="104">
        <v>4073.4453296546817</v>
      </c>
      <c r="L45" s="67">
        <v>17.637347546652375</v>
      </c>
      <c r="M45" s="104">
        <v>6731.126657348339</v>
      </c>
      <c r="N45" s="95">
        <v>13.830768989367495</v>
      </c>
      <c r="O45" s="66">
        <v>9211.605680525603</v>
      </c>
      <c r="P45" s="95">
        <v>11.417558252715653</v>
      </c>
      <c r="Q45" s="104">
        <v>2036.8104419363547</v>
      </c>
      <c r="R45" s="67">
        <v>26.127592304825548</v>
      </c>
      <c r="S45" s="104">
        <v>6634.6165077549458</v>
      </c>
      <c r="T45" s="113">
        <v>14.957209306779641</v>
      </c>
    </row>
    <row r="46" spans="1:20" ht="12.75" customHeight="1" x14ac:dyDescent="0.2">
      <c r="A46" s="30" t="str">
        <f>VLOOKUP("&lt;Zeilentitel_8&gt;",Uebersetzungen!$B$3:$E$83,Uebersetzungen!$B$2+1,FALSE)</f>
        <v>Höchste abgeschlossene Ausbildung</v>
      </c>
      <c r="B46" s="43" t="str">
        <f>VLOOKUP("&lt;Zeilentitel_8.1&gt;",Uebersetzungen!$B$3:$E$83,Uebersetzungen!$B$2+1,FALSE)</f>
        <v>Ohne nachobligatorische Aubildung</v>
      </c>
      <c r="C46" s="117">
        <v>32938.13710136617</v>
      </c>
      <c r="D46" s="118">
        <v>5.9139819080388278</v>
      </c>
      <c r="E46" s="121">
        <v>16918.735390415397</v>
      </c>
      <c r="F46" s="125">
        <v>8.3459954074184584</v>
      </c>
      <c r="G46" s="121">
        <v>2736.2313318306624</v>
      </c>
      <c r="H46" s="118">
        <v>23.209059808720749</v>
      </c>
      <c r="I46" s="173">
        <v>228.44085475394164</v>
      </c>
      <c r="J46" s="137">
        <v>79.154016547621453</v>
      </c>
      <c r="K46" s="123">
        <v>1668.1864965682275</v>
      </c>
      <c r="L46" s="124">
        <v>27.85235037221144</v>
      </c>
      <c r="M46" s="121">
        <v>5415.0776048241441</v>
      </c>
      <c r="N46" s="118">
        <v>15.909680658984364</v>
      </c>
      <c r="O46" s="122">
        <v>4544.5959223075761</v>
      </c>
      <c r="P46" s="118">
        <v>16.66108067816441</v>
      </c>
      <c r="Q46" s="136">
        <v>917.51865357620034</v>
      </c>
      <c r="R46" s="124">
        <v>39.990725705355771</v>
      </c>
      <c r="S46" s="121">
        <v>9201.4630858792007</v>
      </c>
      <c r="T46" s="126">
        <v>12.897303610871932</v>
      </c>
    </row>
    <row r="47" spans="1:20" x14ac:dyDescent="0.2">
      <c r="A47" s="34"/>
      <c r="B47" s="45" t="str">
        <f>VLOOKUP("&lt;Zeilentitel_8.2&gt;",Uebersetzungen!$B$3:$E$83,Uebersetzungen!$B$2+1,FALSE)</f>
        <v>Sekundarstufe II</v>
      </c>
      <c r="C47" s="84">
        <v>81217.846845221968</v>
      </c>
      <c r="D47" s="95">
        <v>3.0408354358788965</v>
      </c>
      <c r="E47" s="104">
        <v>58377.845956389472</v>
      </c>
      <c r="F47" s="67">
        <v>3.891744643130572</v>
      </c>
      <c r="G47" s="104">
        <v>7391.1081803047646</v>
      </c>
      <c r="H47" s="95">
        <v>14.058292676637754</v>
      </c>
      <c r="I47" s="70">
        <v>597.26694203625811</v>
      </c>
      <c r="J47" s="97">
        <v>46.961535931592174</v>
      </c>
      <c r="K47" s="104">
        <v>4290.5957534881827</v>
      </c>
      <c r="L47" s="67">
        <v>17.378556504260906</v>
      </c>
      <c r="M47" s="104">
        <v>8803.58665331671</v>
      </c>
      <c r="N47" s="95">
        <v>12.45565474505047</v>
      </c>
      <c r="O47" s="66">
        <v>11638.549957344487</v>
      </c>
      <c r="P47" s="95">
        <v>10.268111927769118</v>
      </c>
      <c r="Q47" s="105">
        <v>1667.6890101846338</v>
      </c>
      <c r="R47" s="69">
        <v>29.720776603189737</v>
      </c>
      <c r="S47" s="104">
        <v>9612.8762876115907</v>
      </c>
      <c r="T47" s="113">
        <v>12.660336682928248</v>
      </c>
    </row>
    <row r="48" spans="1:20" ht="13.5" thickBot="1" x14ac:dyDescent="0.25">
      <c r="A48" s="35"/>
      <c r="B48" s="46" t="str">
        <f>VLOOKUP("&lt;Zeilentitel_8.3&gt;",Uebersetzungen!$B$3:$E$83,Uebersetzungen!$B$2+1,FALSE)</f>
        <v>Tertiärstufe</v>
      </c>
      <c r="C48" s="87">
        <v>61821.016053407497</v>
      </c>
      <c r="D48" s="101">
        <v>3.7375170185912698</v>
      </c>
      <c r="E48" s="109">
        <v>44639.308598810487</v>
      </c>
      <c r="F48" s="88">
        <v>4.6301298199250249</v>
      </c>
      <c r="G48" s="109">
        <v>9979.0402982203104</v>
      </c>
      <c r="H48" s="101">
        <v>11.540694283527065</v>
      </c>
      <c r="I48" s="91">
        <v>1107.0441888220325</v>
      </c>
      <c r="J48" s="111">
        <v>35.198919778896538</v>
      </c>
      <c r="K48" s="109">
        <v>2433.8360144891212</v>
      </c>
      <c r="L48" s="88">
        <v>23.071456536555026</v>
      </c>
      <c r="M48" s="109">
        <v>5306.7657969089269</v>
      </c>
      <c r="N48" s="101">
        <v>15.99268218324443</v>
      </c>
      <c r="O48" s="90">
        <v>8118.8984089567211</v>
      </c>
      <c r="P48" s="101">
        <v>12.375860623643538</v>
      </c>
      <c r="Q48" s="109">
        <v>3760.5079214679599</v>
      </c>
      <c r="R48" s="88">
        <v>19.266149974383353</v>
      </c>
      <c r="S48" s="109">
        <v>6368.9825695670752</v>
      </c>
      <c r="T48" s="161">
        <v>15.086213292480112</v>
      </c>
    </row>
    <row r="49" spans="1:20" x14ac:dyDescent="0.2">
      <c r="A49" s="25"/>
      <c r="B49" s="18"/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6"/>
      <c r="R49" s="27"/>
      <c r="S49" s="28"/>
      <c r="T49" s="27"/>
    </row>
    <row r="50" spans="1:20" x14ac:dyDescent="0.2">
      <c r="A50" s="13" t="str">
        <f>VLOOKUP("&lt;Legende_1&gt;",Uebersetzungen!$B$3:$E$72,Uebersetzungen!$B$2+1,FALSE)</f>
        <v>Die Befragten konnten mehrere Hauptsprachen nennen.</v>
      </c>
    </row>
    <row r="51" spans="1:20" x14ac:dyDescent="0.2">
      <c r="A51" s="13" t="str">
        <f>VLOOKUP("&lt;Legende_2&gt;",Uebersetzungen!$B$3:$E$72,Uebersetzungen!$B$2+1,FALSE)</f>
        <v>(): Extrapolation aufgrund von 49 oder weniger Beobachtungen. Die Resultate sind mit grosser Vorsicht zu interpretieren.</v>
      </c>
    </row>
    <row r="52" spans="1:20" x14ac:dyDescent="0.2">
      <c r="A52" s="13" t="str">
        <f>VLOOKUP("&lt;Legende_3&gt;",Uebersetzungen!$B$3:$E$72,Uebersetzungen!$B$2+1,FALSE)</f>
        <v>X: Extrapolation aufgrund von 4 oder weniger Beobachtungen. Die Resultate werden aus Gründen des Datenschutzes nicht publiziert.</v>
      </c>
    </row>
    <row r="53" spans="1:20" x14ac:dyDescent="0.2">
      <c r="A53" s="13" t="str">
        <f>VLOOKUP("&lt;Legende_4&gt;",Uebersetzungen!$B$3:$E$72,Uebersetzungen!$B$2+1,FALSE)</f>
        <v>Die Grundgesamtheit der Strukturerhebung enthält alle Personen der ständigen Wohnbevölkerung ab vollendetem 15. Altersjahr, die in Privathaushalten leben.</v>
      </c>
    </row>
    <row r="54" spans="1:20" x14ac:dyDescent="0.2">
      <c r="A54" s="41" t="str">
        <f>VLOOKUP("&lt;Legende_5&gt;",Uebersetzungen!$B$3:$E$72,Uebersetzungen!$B$2+1,FALSE)</f>
        <v>Aus der Grundgesamtheit ausgeschlossen wurden neben den Personen, die in Kollektivhaushalten leben, auch Diplomaten, internationale Funktionäre und deren Angehörige.</v>
      </c>
    </row>
    <row r="55" spans="1:20" x14ac:dyDescent="0.2">
      <c r="A55" s="7"/>
    </row>
    <row r="56" spans="1:20" x14ac:dyDescent="0.2">
      <c r="A56" s="7" t="str">
        <f>VLOOKUP("&lt;Quelle_1&gt;",Uebersetzungen!$B$3:$E$83,Uebersetzungen!$B$2+1,FALSE)</f>
        <v>Quelle: BFS (Strukturerhebung)</v>
      </c>
    </row>
    <row r="57" spans="1:20" x14ac:dyDescent="0.2">
      <c r="A57" s="6" t="str">
        <f>VLOOKUP("&lt;Aktualisierung&gt;",Uebersetzungen!$B$3:$E$83,Uebersetzungen!$B$2+1,FALSE)</f>
        <v>Letztmals aktualisiert am: 05.03.2026</v>
      </c>
    </row>
    <row r="58" spans="1:20" x14ac:dyDescent="0.2">
      <c r="B58" s="9"/>
      <c r="R58" s="9"/>
    </row>
    <row r="60" spans="1:20" x14ac:dyDescent="0.2">
      <c r="B60" s="10"/>
      <c r="R60" s="10"/>
    </row>
    <row r="61" spans="1:20" x14ac:dyDescent="0.2">
      <c r="R61" s="9"/>
      <c r="S61" s="9"/>
      <c r="T61" s="9"/>
    </row>
  </sheetData>
  <sheetProtection sheet="1" objects="1" scenarios="1"/>
  <mergeCells count="12">
    <mergeCell ref="O13:P13"/>
    <mergeCell ref="Q13:R13"/>
    <mergeCell ref="S13:T13"/>
    <mergeCell ref="A7:D7"/>
    <mergeCell ref="C12:T12"/>
    <mergeCell ref="B13:B14"/>
    <mergeCell ref="C13:D13"/>
    <mergeCell ref="E13:F13"/>
    <mergeCell ref="G13:H13"/>
    <mergeCell ref="I13:J13"/>
    <mergeCell ref="K13:L13"/>
    <mergeCell ref="M13:N13"/>
  </mergeCells>
  <pageMargins left="0.7" right="0.7" top="0.78740157499999996" bottom="0.78740157499999996" header="0.3" footer="0.3"/>
  <pageSetup paperSize="9" scale="32" orientation="portrait" horizontalDpi="90" verticalDpi="9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3</xdr:col>
                    <xdr:colOff>190500</xdr:colOff>
                    <xdr:row>1</xdr:row>
                    <xdr:rowOff>123825</xdr:rowOff>
                  </from>
                  <to>
                    <xdr:col>4</xdr:col>
                    <xdr:colOff>609600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3</xdr:col>
                    <xdr:colOff>190500</xdr:colOff>
                    <xdr:row>2</xdr:row>
                    <xdr:rowOff>114300</xdr:rowOff>
                  </from>
                  <to>
                    <xdr:col>5</xdr:col>
                    <xdr:colOff>276225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Option Button 3">
              <controlPr defaultSize="0" autoFill="0" autoLine="0" autoPict="0">
                <anchor moveWithCells="1">
                  <from>
                    <xdr:col>3</xdr:col>
                    <xdr:colOff>190500</xdr:colOff>
                    <xdr:row>3</xdr:row>
                    <xdr:rowOff>76200</xdr:rowOff>
                  </from>
                  <to>
                    <xdr:col>4</xdr:col>
                    <xdr:colOff>609600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7"/>
  <sheetViews>
    <sheetView topLeftCell="A50" workbookViewId="0">
      <selection activeCell="G72" sqref="G72"/>
    </sheetView>
  </sheetViews>
  <sheetFormatPr baseColWidth="10" defaultColWidth="11" defaultRowHeight="12.75" x14ac:dyDescent="0.2"/>
  <cols>
    <col min="1" max="1" width="7.5" style="20" bestFit="1" customWidth="1"/>
    <col min="2" max="2" width="15.5" style="20" bestFit="1" customWidth="1"/>
    <col min="3" max="3" width="40.875" style="20" bestFit="1" customWidth="1"/>
    <col min="4" max="4" width="41.625" style="20" bestFit="1" customWidth="1"/>
    <col min="5" max="5" width="41.125" style="20" bestFit="1" customWidth="1"/>
    <col min="6" max="16384" width="11" style="20"/>
  </cols>
  <sheetData>
    <row r="1" spans="1:6" x14ac:dyDescent="0.2">
      <c r="A1" s="14" t="s">
        <v>30</v>
      </c>
      <c r="B1" s="14" t="s">
        <v>31</v>
      </c>
      <c r="C1" s="14" t="s">
        <v>32</v>
      </c>
      <c r="D1" s="14" t="s">
        <v>33</v>
      </c>
      <c r="E1" s="14" t="s">
        <v>34</v>
      </c>
      <c r="F1" s="15"/>
    </row>
    <row r="2" spans="1:6" x14ac:dyDescent="0.2">
      <c r="A2" s="21" t="s">
        <v>35</v>
      </c>
      <c r="B2" s="22">
        <v>1</v>
      </c>
      <c r="C2" s="15"/>
      <c r="D2" s="15"/>
      <c r="E2" s="15"/>
      <c r="F2" s="15"/>
    </row>
    <row r="3" spans="1:6" x14ac:dyDescent="0.2">
      <c r="A3" s="21"/>
      <c r="B3" s="20" t="s">
        <v>37</v>
      </c>
      <c r="C3" s="16" t="s">
        <v>38</v>
      </c>
      <c r="D3" s="16" t="s">
        <v>39</v>
      </c>
      <c r="E3" s="16" t="s">
        <v>40</v>
      </c>
      <c r="F3" s="15"/>
    </row>
    <row r="4" spans="1:6" ht="25.5" x14ac:dyDescent="0.2">
      <c r="A4" s="21" t="s">
        <v>36</v>
      </c>
      <c r="B4" s="17" t="s">
        <v>41</v>
      </c>
      <c r="C4" s="17" t="s">
        <v>213</v>
      </c>
      <c r="D4" s="17" t="s">
        <v>214</v>
      </c>
      <c r="E4" s="17" t="s">
        <v>215</v>
      </c>
      <c r="F4" s="15"/>
    </row>
    <row r="5" spans="1:6" x14ac:dyDescent="0.2">
      <c r="A5" s="21"/>
      <c r="B5" s="20" t="s">
        <v>58</v>
      </c>
      <c r="C5" s="39" t="s">
        <v>134</v>
      </c>
      <c r="D5" s="39" t="s">
        <v>135</v>
      </c>
      <c r="E5" s="39" t="s">
        <v>136</v>
      </c>
      <c r="F5" s="15"/>
    </row>
    <row r="6" spans="1:6" x14ac:dyDescent="0.2">
      <c r="A6" s="21"/>
      <c r="B6" s="21"/>
      <c r="C6" s="21"/>
      <c r="D6" s="21"/>
      <c r="E6" s="21"/>
      <c r="F6" s="15"/>
    </row>
    <row r="7" spans="1:6" ht="14.25" customHeight="1" x14ac:dyDescent="0.2">
      <c r="A7" s="21" t="s">
        <v>60</v>
      </c>
      <c r="B7" s="20" t="s">
        <v>42</v>
      </c>
      <c r="C7" s="16" t="s">
        <v>216</v>
      </c>
      <c r="D7" s="16" t="s">
        <v>260</v>
      </c>
      <c r="E7" s="16" t="s">
        <v>217</v>
      </c>
      <c r="F7" s="15"/>
    </row>
    <row r="8" spans="1:6" x14ac:dyDescent="0.2">
      <c r="A8" s="21"/>
      <c r="B8" s="20" t="s">
        <v>43</v>
      </c>
      <c r="C8" s="20" t="s">
        <v>218</v>
      </c>
      <c r="D8" s="20" t="s">
        <v>219</v>
      </c>
      <c r="E8" s="20" t="s">
        <v>220</v>
      </c>
      <c r="F8" s="15"/>
    </row>
    <row r="9" spans="1:6" x14ac:dyDescent="0.2">
      <c r="A9" s="21"/>
      <c r="B9" s="20" t="s">
        <v>44</v>
      </c>
      <c r="C9" s="20" t="s">
        <v>221</v>
      </c>
      <c r="D9" s="20" t="s">
        <v>222</v>
      </c>
      <c r="E9" s="20" t="s">
        <v>223</v>
      </c>
      <c r="F9" s="15"/>
    </row>
    <row r="10" spans="1:6" x14ac:dyDescent="0.2">
      <c r="A10" s="21"/>
      <c r="B10" s="20" t="s">
        <v>114</v>
      </c>
      <c r="C10" s="16" t="s">
        <v>226</v>
      </c>
      <c r="D10" s="16" t="s">
        <v>225</v>
      </c>
      <c r="E10" s="16" t="s">
        <v>224</v>
      </c>
      <c r="F10" s="15"/>
    </row>
    <row r="11" spans="1:6" x14ac:dyDescent="0.2">
      <c r="A11" s="21"/>
      <c r="B11" s="20" t="s">
        <v>130</v>
      </c>
      <c r="C11" s="16" t="s">
        <v>227</v>
      </c>
      <c r="D11" s="16" t="s">
        <v>228</v>
      </c>
      <c r="E11" s="16" t="s">
        <v>229</v>
      </c>
      <c r="F11" s="15"/>
    </row>
    <row r="12" spans="1:6" x14ac:dyDescent="0.2">
      <c r="A12" s="21"/>
      <c r="B12" s="20" t="s">
        <v>131</v>
      </c>
      <c r="C12" s="16" t="s">
        <v>230</v>
      </c>
      <c r="D12" s="16" t="s">
        <v>234</v>
      </c>
      <c r="E12" s="16" t="s">
        <v>231</v>
      </c>
      <c r="F12" s="15"/>
    </row>
    <row r="13" spans="1:6" x14ac:dyDescent="0.2">
      <c r="A13" s="21"/>
      <c r="B13" s="20" t="s">
        <v>132</v>
      </c>
      <c r="C13" s="16" t="s">
        <v>235</v>
      </c>
      <c r="D13" s="16" t="s">
        <v>233</v>
      </c>
      <c r="E13" s="16" t="s">
        <v>232</v>
      </c>
      <c r="F13" s="15"/>
    </row>
    <row r="14" spans="1:6" x14ac:dyDescent="0.2">
      <c r="A14" s="21"/>
      <c r="B14" s="20" t="s">
        <v>133</v>
      </c>
      <c r="C14" s="16" t="s">
        <v>137</v>
      </c>
      <c r="D14" s="16" t="s">
        <v>145</v>
      </c>
      <c r="E14" s="16" t="s">
        <v>140</v>
      </c>
      <c r="F14" s="15"/>
    </row>
    <row r="15" spans="1:6" x14ac:dyDescent="0.2">
      <c r="A15" s="21"/>
      <c r="B15" s="20" t="s">
        <v>211</v>
      </c>
      <c r="C15" s="16" t="s">
        <v>138</v>
      </c>
      <c r="D15" s="16" t="s">
        <v>144</v>
      </c>
      <c r="E15" s="16" t="s">
        <v>141</v>
      </c>
      <c r="F15" s="15"/>
    </row>
    <row r="16" spans="1:6" x14ac:dyDescent="0.2">
      <c r="A16" s="21"/>
      <c r="B16" s="20" t="s">
        <v>212</v>
      </c>
      <c r="C16" s="16" t="s">
        <v>139</v>
      </c>
      <c r="D16" s="16" t="s">
        <v>143</v>
      </c>
      <c r="E16" s="16" t="s">
        <v>142</v>
      </c>
      <c r="F16" s="15"/>
    </row>
    <row r="17" spans="1:6" x14ac:dyDescent="0.2">
      <c r="A17" s="21"/>
      <c r="B17" s="21"/>
      <c r="C17" s="21"/>
      <c r="D17" s="21"/>
      <c r="E17" s="21"/>
      <c r="F17" s="21"/>
    </row>
    <row r="18" spans="1:6" x14ac:dyDescent="0.2">
      <c r="A18" s="21"/>
      <c r="B18" s="20" t="s">
        <v>64</v>
      </c>
      <c r="C18" s="16" t="s">
        <v>1</v>
      </c>
      <c r="D18" s="16" t="s">
        <v>112</v>
      </c>
      <c r="E18" s="16" t="s">
        <v>67</v>
      </c>
      <c r="F18" s="15"/>
    </row>
    <row r="19" spans="1:6" ht="25.5" x14ac:dyDescent="0.2">
      <c r="A19" s="21"/>
      <c r="B19" s="20" t="s">
        <v>65</v>
      </c>
      <c r="C19" s="16" t="s">
        <v>146</v>
      </c>
      <c r="D19" s="16" t="s">
        <v>147</v>
      </c>
      <c r="E19" s="16" t="s">
        <v>148</v>
      </c>
      <c r="F19" s="15"/>
    </row>
    <row r="20" spans="1:6" x14ac:dyDescent="0.2">
      <c r="A20" s="21"/>
      <c r="B20" s="15"/>
      <c r="C20" s="15"/>
      <c r="D20" s="15"/>
      <c r="E20" s="15"/>
      <c r="F20" s="15"/>
    </row>
    <row r="21" spans="1:6" x14ac:dyDescent="0.2">
      <c r="A21" s="21" t="s">
        <v>36</v>
      </c>
      <c r="B21" s="20" t="s">
        <v>45</v>
      </c>
      <c r="C21" s="16" t="s">
        <v>0</v>
      </c>
      <c r="D21" s="16" t="s">
        <v>0</v>
      </c>
      <c r="E21" s="16" t="s">
        <v>66</v>
      </c>
      <c r="F21" s="15"/>
    </row>
    <row r="22" spans="1:6" x14ac:dyDescent="0.2">
      <c r="A22" s="15"/>
      <c r="B22" s="20" t="s">
        <v>46</v>
      </c>
      <c r="C22" s="16" t="s">
        <v>6</v>
      </c>
      <c r="D22" s="16" t="s">
        <v>92</v>
      </c>
      <c r="E22" s="16" t="s">
        <v>69</v>
      </c>
      <c r="F22" s="15"/>
    </row>
    <row r="23" spans="1:6" x14ac:dyDescent="0.2">
      <c r="A23" s="15"/>
      <c r="B23" s="20" t="s">
        <v>47</v>
      </c>
      <c r="C23" s="16" t="s">
        <v>9</v>
      </c>
      <c r="D23" s="24" t="s">
        <v>93</v>
      </c>
      <c r="E23" s="16" t="s">
        <v>70</v>
      </c>
      <c r="F23" s="15"/>
    </row>
    <row r="24" spans="1:6" x14ac:dyDescent="0.2">
      <c r="A24" s="15"/>
      <c r="B24" s="20" t="s">
        <v>48</v>
      </c>
      <c r="C24" s="16" t="s">
        <v>115</v>
      </c>
      <c r="D24" s="16" t="s">
        <v>116</v>
      </c>
      <c r="E24" s="16" t="s">
        <v>117</v>
      </c>
      <c r="F24" s="15"/>
    </row>
    <row r="25" spans="1:6" x14ac:dyDescent="0.2">
      <c r="A25" s="15"/>
      <c r="B25" s="20" t="s">
        <v>49</v>
      </c>
      <c r="C25" s="20" t="s">
        <v>149</v>
      </c>
      <c r="D25" s="20" t="s">
        <v>151</v>
      </c>
      <c r="E25" s="20" t="s">
        <v>150</v>
      </c>
      <c r="F25" s="15"/>
    </row>
    <row r="26" spans="1:6" x14ac:dyDescent="0.2">
      <c r="A26" s="15"/>
      <c r="B26" s="20" t="s">
        <v>50</v>
      </c>
      <c r="C26" s="16" t="s">
        <v>10</v>
      </c>
      <c r="D26" s="16" t="s">
        <v>94</v>
      </c>
      <c r="E26" s="16" t="s">
        <v>118</v>
      </c>
      <c r="F26" s="15"/>
    </row>
    <row r="27" spans="1:6" x14ac:dyDescent="0.2">
      <c r="A27" s="15"/>
      <c r="B27" s="20" t="s">
        <v>51</v>
      </c>
      <c r="C27" s="16" t="s">
        <v>14</v>
      </c>
      <c r="D27" s="16" t="s">
        <v>95</v>
      </c>
      <c r="E27" s="16" t="s">
        <v>119</v>
      </c>
      <c r="F27" s="15"/>
    </row>
    <row r="28" spans="1:6" x14ac:dyDescent="0.2">
      <c r="A28" s="15"/>
      <c r="B28" s="20" t="s">
        <v>52</v>
      </c>
      <c r="C28" s="16" t="s">
        <v>26</v>
      </c>
      <c r="D28" s="16" t="s">
        <v>96</v>
      </c>
      <c r="E28" s="16" t="s">
        <v>120</v>
      </c>
      <c r="F28" s="15"/>
    </row>
    <row r="29" spans="1:6" x14ac:dyDescent="0.2">
      <c r="A29" s="15"/>
      <c r="B29" s="15"/>
      <c r="C29" s="15"/>
      <c r="D29" s="15"/>
      <c r="E29" s="15"/>
      <c r="F29" s="15"/>
    </row>
    <row r="30" spans="1:6" x14ac:dyDescent="0.2">
      <c r="A30" s="15"/>
      <c r="B30" s="20" t="s">
        <v>178</v>
      </c>
      <c r="C30" s="16" t="s">
        <v>7</v>
      </c>
      <c r="D30" s="16" t="s">
        <v>90</v>
      </c>
      <c r="E30" s="16" t="s">
        <v>71</v>
      </c>
      <c r="F30" s="15"/>
    </row>
    <row r="31" spans="1:6" x14ac:dyDescent="0.2">
      <c r="A31" s="15"/>
      <c r="B31" s="20" t="s">
        <v>179</v>
      </c>
      <c r="C31" s="16" t="s">
        <v>8</v>
      </c>
      <c r="D31" s="16" t="s">
        <v>91</v>
      </c>
      <c r="E31" s="16" t="s">
        <v>72</v>
      </c>
      <c r="F31" s="15"/>
    </row>
    <row r="32" spans="1:6" x14ac:dyDescent="0.2">
      <c r="A32" s="15"/>
      <c r="B32" s="20" t="s">
        <v>180</v>
      </c>
      <c r="C32" s="16" t="s">
        <v>121</v>
      </c>
      <c r="D32" s="16" t="s">
        <v>121</v>
      </c>
      <c r="E32" s="16" t="s">
        <v>121</v>
      </c>
      <c r="F32" s="15"/>
    </row>
    <row r="33" spans="1:6" x14ac:dyDescent="0.2">
      <c r="A33" s="15"/>
      <c r="B33" s="20" t="s">
        <v>181</v>
      </c>
      <c r="C33" s="16" t="s">
        <v>153</v>
      </c>
      <c r="D33" s="16" t="s">
        <v>153</v>
      </c>
      <c r="E33" s="16" t="s">
        <v>153</v>
      </c>
      <c r="F33" s="15"/>
    </row>
    <row r="34" spans="1:6" x14ac:dyDescent="0.2">
      <c r="A34" s="15"/>
      <c r="B34" s="20" t="s">
        <v>182</v>
      </c>
      <c r="C34" s="16" t="s">
        <v>152</v>
      </c>
      <c r="D34" s="16" t="s">
        <v>152</v>
      </c>
      <c r="E34" s="16" t="s">
        <v>152</v>
      </c>
      <c r="F34" s="15"/>
    </row>
    <row r="35" spans="1:6" x14ac:dyDescent="0.2">
      <c r="A35" s="15"/>
      <c r="B35" s="20" t="s">
        <v>183</v>
      </c>
      <c r="C35" s="16" t="s">
        <v>122</v>
      </c>
      <c r="D35" s="16" t="s">
        <v>123</v>
      </c>
      <c r="E35" s="16" t="s">
        <v>124</v>
      </c>
      <c r="F35" s="15"/>
    </row>
    <row r="36" spans="1:6" x14ac:dyDescent="0.2">
      <c r="A36" s="15"/>
      <c r="B36" s="20" t="s">
        <v>184</v>
      </c>
      <c r="C36" s="16" t="s">
        <v>127</v>
      </c>
      <c r="D36" s="16" t="s">
        <v>126</v>
      </c>
      <c r="E36" s="16" t="s">
        <v>125</v>
      </c>
      <c r="F36" s="15"/>
    </row>
    <row r="37" spans="1:6" x14ac:dyDescent="0.2">
      <c r="A37" s="15"/>
      <c r="B37" s="20" t="s">
        <v>185</v>
      </c>
      <c r="C37" s="16" t="s">
        <v>154</v>
      </c>
      <c r="D37" s="16" t="s">
        <v>158</v>
      </c>
      <c r="E37" s="16" t="s">
        <v>162</v>
      </c>
      <c r="F37" s="15"/>
    </row>
    <row r="38" spans="1:6" x14ac:dyDescent="0.2">
      <c r="A38" s="15"/>
      <c r="B38" s="20" t="s">
        <v>186</v>
      </c>
      <c r="C38" s="16" t="s">
        <v>155</v>
      </c>
      <c r="D38" s="16" t="s">
        <v>159</v>
      </c>
      <c r="E38" s="16" t="s">
        <v>163</v>
      </c>
      <c r="F38" s="15"/>
    </row>
    <row r="39" spans="1:6" x14ac:dyDescent="0.2">
      <c r="A39" s="15"/>
      <c r="B39" s="20" t="s">
        <v>187</v>
      </c>
      <c r="C39" s="16" t="s">
        <v>156</v>
      </c>
      <c r="D39" s="16" t="s">
        <v>160</v>
      </c>
      <c r="E39" s="16" t="s">
        <v>164</v>
      </c>
      <c r="F39" s="15"/>
    </row>
    <row r="40" spans="1:6" x14ac:dyDescent="0.2">
      <c r="A40" s="15"/>
      <c r="B40" s="20" t="s">
        <v>188</v>
      </c>
      <c r="C40" s="16" t="s">
        <v>157</v>
      </c>
      <c r="D40" s="16" t="s">
        <v>161</v>
      </c>
      <c r="E40" s="16" t="s">
        <v>165</v>
      </c>
      <c r="F40" s="15"/>
    </row>
    <row r="41" spans="1:6" x14ac:dyDescent="0.2">
      <c r="A41" s="15"/>
      <c r="B41" s="20" t="s">
        <v>189</v>
      </c>
      <c r="C41" s="16" t="s">
        <v>173</v>
      </c>
      <c r="D41" s="16" t="s">
        <v>261</v>
      </c>
      <c r="E41" s="16" t="s">
        <v>262</v>
      </c>
      <c r="F41" s="15"/>
    </row>
    <row r="42" spans="1:6" x14ac:dyDescent="0.2">
      <c r="A42" s="15"/>
      <c r="B42" s="20" t="s">
        <v>190</v>
      </c>
      <c r="C42" s="16" t="s">
        <v>174</v>
      </c>
      <c r="D42" s="16" t="s">
        <v>263</v>
      </c>
      <c r="E42" s="16" t="s">
        <v>264</v>
      </c>
      <c r="F42" s="15"/>
    </row>
    <row r="43" spans="1:6" x14ac:dyDescent="0.2">
      <c r="A43" s="15"/>
      <c r="B43" s="20" t="s">
        <v>191</v>
      </c>
      <c r="C43" s="16" t="s">
        <v>175</v>
      </c>
      <c r="D43" s="16" t="s">
        <v>265</v>
      </c>
      <c r="E43" s="16" t="s">
        <v>266</v>
      </c>
      <c r="F43" s="15"/>
    </row>
    <row r="44" spans="1:6" ht="25.5" x14ac:dyDescent="0.2">
      <c r="A44" s="15"/>
      <c r="B44" s="20" t="s">
        <v>192</v>
      </c>
      <c r="C44" s="16" t="s">
        <v>176</v>
      </c>
      <c r="D44" s="16" t="s">
        <v>267</v>
      </c>
      <c r="E44" s="16" t="s">
        <v>268</v>
      </c>
      <c r="F44" s="15"/>
    </row>
    <row r="45" spans="1:6" x14ac:dyDescent="0.2">
      <c r="A45" s="15"/>
      <c r="B45" s="20" t="s">
        <v>193</v>
      </c>
      <c r="C45" s="16" t="s">
        <v>177</v>
      </c>
      <c r="D45" s="16" t="s">
        <v>269</v>
      </c>
      <c r="E45" s="16" t="s">
        <v>270</v>
      </c>
      <c r="F45" s="15"/>
    </row>
    <row r="46" spans="1:6" ht="25.5" x14ac:dyDescent="0.2">
      <c r="A46" s="15"/>
      <c r="B46" s="20" t="s">
        <v>194</v>
      </c>
      <c r="C46" s="16" t="s">
        <v>236</v>
      </c>
      <c r="D46" s="16" t="s">
        <v>245</v>
      </c>
      <c r="E46" s="16" t="s">
        <v>241</v>
      </c>
      <c r="F46" s="15"/>
    </row>
    <row r="47" spans="1:6" ht="25.5" x14ac:dyDescent="0.2">
      <c r="A47" s="15"/>
      <c r="B47" s="20" t="s">
        <v>195</v>
      </c>
      <c r="C47" s="16" t="s">
        <v>237</v>
      </c>
      <c r="D47" s="16" t="s">
        <v>246</v>
      </c>
      <c r="E47" s="16" t="s">
        <v>242</v>
      </c>
      <c r="F47" s="15"/>
    </row>
    <row r="48" spans="1:6" ht="25.5" x14ac:dyDescent="0.2">
      <c r="A48" s="15"/>
      <c r="B48" s="20" t="s">
        <v>196</v>
      </c>
      <c r="C48" s="16" t="s">
        <v>238</v>
      </c>
      <c r="D48" s="16" t="s">
        <v>247</v>
      </c>
      <c r="E48" s="16" t="s">
        <v>243</v>
      </c>
      <c r="F48" s="15"/>
    </row>
    <row r="49" spans="1:6" ht="25.5" x14ac:dyDescent="0.2">
      <c r="A49" s="15"/>
      <c r="B49" s="20" t="s">
        <v>240</v>
      </c>
      <c r="C49" s="16" t="s">
        <v>239</v>
      </c>
      <c r="D49" s="16" t="s">
        <v>248</v>
      </c>
      <c r="E49" s="16" t="s">
        <v>244</v>
      </c>
      <c r="F49" s="15"/>
    </row>
    <row r="50" spans="1:6" x14ac:dyDescent="0.2">
      <c r="A50" s="15"/>
      <c r="B50" s="20" t="s">
        <v>197</v>
      </c>
      <c r="C50" s="16" t="s">
        <v>15</v>
      </c>
      <c r="D50" s="16" t="s">
        <v>109</v>
      </c>
      <c r="E50" s="16" t="s">
        <v>76</v>
      </c>
      <c r="F50" s="15"/>
    </row>
    <row r="51" spans="1:6" x14ac:dyDescent="0.2">
      <c r="A51" s="15"/>
      <c r="B51" s="20" t="s">
        <v>198</v>
      </c>
      <c r="C51" s="16" t="s">
        <v>16</v>
      </c>
      <c r="D51" s="16" t="s">
        <v>97</v>
      </c>
      <c r="E51" s="16" t="s">
        <v>77</v>
      </c>
      <c r="F51" s="15"/>
    </row>
    <row r="52" spans="1:6" x14ac:dyDescent="0.2">
      <c r="A52" s="15"/>
      <c r="B52" s="20" t="s">
        <v>199</v>
      </c>
      <c r="C52" s="16" t="s">
        <v>17</v>
      </c>
      <c r="D52" s="16" t="s">
        <v>98</v>
      </c>
      <c r="E52" s="16" t="s">
        <v>78</v>
      </c>
      <c r="F52" s="15"/>
    </row>
    <row r="53" spans="1:6" x14ac:dyDescent="0.2">
      <c r="A53" s="15"/>
      <c r="B53" s="20" t="s">
        <v>200</v>
      </c>
      <c r="C53" s="16" t="s">
        <v>18</v>
      </c>
      <c r="D53" s="16" t="s">
        <v>99</v>
      </c>
      <c r="E53" s="16" t="s">
        <v>79</v>
      </c>
      <c r="F53" s="15"/>
    </row>
    <row r="54" spans="1:6" x14ac:dyDescent="0.2">
      <c r="A54" s="15"/>
      <c r="B54" s="20" t="s">
        <v>201</v>
      </c>
      <c r="C54" s="16" t="s">
        <v>19</v>
      </c>
      <c r="D54" s="16" t="s">
        <v>100</v>
      </c>
      <c r="E54" s="16" t="s">
        <v>80</v>
      </c>
      <c r="F54" s="15"/>
    </row>
    <row r="55" spans="1:6" x14ac:dyDescent="0.2">
      <c r="A55" s="15"/>
      <c r="B55" s="20" t="s">
        <v>202</v>
      </c>
      <c r="C55" s="16" t="s">
        <v>20</v>
      </c>
      <c r="D55" s="16" t="s">
        <v>101</v>
      </c>
      <c r="E55" s="16" t="s">
        <v>81</v>
      </c>
      <c r="F55" s="15"/>
    </row>
    <row r="56" spans="1:6" x14ac:dyDescent="0.2">
      <c r="A56" s="15"/>
      <c r="B56" s="20" t="s">
        <v>203</v>
      </c>
      <c r="C56" s="16" t="s">
        <v>21</v>
      </c>
      <c r="D56" s="16" t="s">
        <v>102</v>
      </c>
      <c r="E56" s="16" t="s">
        <v>82</v>
      </c>
      <c r="F56" s="15"/>
    </row>
    <row r="57" spans="1:6" x14ac:dyDescent="0.2">
      <c r="A57" s="15"/>
      <c r="B57" s="20" t="s">
        <v>204</v>
      </c>
      <c r="C57" s="16" t="s">
        <v>22</v>
      </c>
      <c r="D57" s="16" t="s">
        <v>103</v>
      </c>
      <c r="E57" s="16" t="s">
        <v>83</v>
      </c>
      <c r="F57" s="15"/>
    </row>
    <row r="58" spans="1:6" ht="25.5" x14ac:dyDescent="0.2">
      <c r="A58" s="15"/>
      <c r="B58" s="20" t="s">
        <v>205</v>
      </c>
      <c r="C58" s="16" t="s">
        <v>23</v>
      </c>
      <c r="D58" s="16" t="s">
        <v>104</v>
      </c>
      <c r="E58" s="16" t="s">
        <v>84</v>
      </c>
      <c r="F58" s="15"/>
    </row>
    <row r="59" spans="1:6" ht="38.25" x14ac:dyDescent="0.2">
      <c r="A59" s="15"/>
      <c r="B59" s="20" t="s">
        <v>206</v>
      </c>
      <c r="C59" s="16" t="s">
        <v>24</v>
      </c>
      <c r="D59" s="16" t="s">
        <v>105</v>
      </c>
      <c r="E59" s="16" t="s">
        <v>85</v>
      </c>
      <c r="F59" s="15"/>
    </row>
    <row r="60" spans="1:6" ht="25.5" x14ac:dyDescent="0.2">
      <c r="A60" s="15"/>
      <c r="B60" s="20" t="s">
        <v>207</v>
      </c>
      <c r="C60" s="16" t="s">
        <v>25</v>
      </c>
      <c r="D60" s="16" t="s">
        <v>106</v>
      </c>
      <c r="E60" s="16" t="s">
        <v>86</v>
      </c>
      <c r="F60" s="15"/>
    </row>
    <row r="61" spans="1:6" x14ac:dyDescent="0.2">
      <c r="A61" s="15"/>
      <c r="B61" s="20" t="s">
        <v>208</v>
      </c>
      <c r="C61" s="16" t="s">
        <v>128</v>
      </c>
      <c r="D61" s="16" t="s">
        <v>129</v>
      </c>
      <c r="E61" s="16" t="s">
        <v>87</v>
      </c>
      <c r="F61" s="15"/>
    </row>
    <row r="62" spans="1:6" x14ac:dyDescent="0.2">
      <c r="A62" s="15"/>
      <c r="B62" s="20" t="s">
        <v>209</v>
      </c>
      <c r="C62" s="16" t="s">
        <v>27</v>
      </c>
      <c r="D62" s="16" t="s">
        <v>107</v>
      </c>
      <c r="E62" s="16" t="s">
        <v>88</v>
      </c>
      <c r="F62" s="15"/>
    </row>
    <row r="63" spans="1:6" x14ac:dyDescent="0.2">
      <c r="A63" s="15"/>
      <c r="B63" s="20" t="s">
        <v>210</v>
      </c>
      <c r="C63" s="16" t="s">
        <v>28</v>
      </c>
      <c r="D63" s="16" t="s">
        <v>108</v>
      </c>
      <c r="E63" s="16" t="s">
        <v>89</v>
      </c>
      <c r="F63" s="15"/>
    </row>
    <row r="64" spans="1:6" x14ac:dyDescent="0.2">
      <c r="A64" s="15"/>
      <c r="B64" s="15"/>
      <c r="C64" s="15"/>
      <c r="D64" s="15"/>
      <c r="E64" s="15"/>
      <c r="F64" s="15"/>
    </row>
    <row r="65" spans="1:6" ht="25.5" x14ac:dyDescent="0.2">
      <c r="A65" s="21"/>
      <c r="B65" s="20" t="s">
        <v>53</v>
      </c>
      <c r="C65" s="20" t="s">
        <v>167</v>
      </c>
      <c r="D65" s="20" t="s">
        <v>169</v>
      </c>
      <c r="E65" s="20" t="s">
        <v>168</v>
      </c>
      <c r="F65" s="15"/>
    </row>
    <row r="66" spans="1:6" x14ac:dyDescent="0.2">
      <c r="A66" s="15"/>
      <c r="B66" s="20" t="s">
        <v>54</v>
      </c>
      <c r="C66" s="37" t="s">
        <v>2</v>
      </c>
      <c r="D66" s="13" t="s">
        <v>271</v>
      </c>
      <c r="E66" s="13" t="s">
        <v>272</v>
      </c>
      <c r="F66" s="15"/>
    </row>
    <row r="67" spans="1:6" x14ac:dyDescent="0.2">
      <c r="A67" s="15"/>
      <c r="B67" s="20" t="s">
        <v>55</v>
      </c>
      <c r="C67" s="37" t="s">
        <v>3</v>
      </c>
      <c r="D67" s="13" t="s">
        <v>273</v>
      </c>
      <c r="E67" s="13" t="s">
        <v>274</v>
      </c>
      <c r="F67" s="15"/>
    </row>
    <row r="68" spans="1:6" x14ac:dyDescent="0.2">
      <c r="A68" s="15"/>
      <c r="B68" s="20" t="s">
        <v>56</v>
      </c>
      <c r="C68" s="37" t="s">
        <v>4</v>
      </c>
      <c r="D68" s="13" t="s">
        <v>275</v>
      </c>
      <c r="E68" s="13" t="s">
        <v>276</v>
      </c>
      <c r="F68" s="15"/>
    </row>
    <row r="69" spans="1:6" x14ac:dyDescent="0.2">
      <c r="A69" s="15"/>
      <c r="B69" s="20" t="s">
        <v>166</v>
      </c>
      <c r="C69" s="37" t="s">
        <v>5</v>
      </c>
      <c r="D69" s="13" t="s">
        <v>277</v>
      </c>
      <c r="E69" s="13" t="s">
        <v>278</v>
      </c>
      <c r="F69" s="15"/>
    </row>
    <row r="70" spans="1:6" x14ac:dyDescent="0.2">
      <c r="A70" s="15"/>
      <c r="B70" s="15"/>
      <c r="C70" s="15"/>
      <c r="D70" s="15"/>
      <c r="E70" s="15"/>
      <c r="F70" s="15"/>
    </row>
    <row r="71" spans="1:6" x14ac:dyDescent="0.2">
      <c r="A71" s="15" t="s">
        <v>60</v>
      </c>
      <c r="B71" s="20" t="s">
        <v>59</v>
      </c>
      <c r="C71" s="16" t="s">
        <v>29</v>
      </c>
      <c r="D71" s="16" t="s">
        <v>113</v>
      </c>
      <c r="E71" s="16" t="s">
        <v>68</v>
      </c>
      <c r="F71" s="15"/>
    </row>
    <row r="72" spans="1:6" x14ac:dyDescent="0.2">
      <c r="A72" s="15" t="s">
        <v>36</v>
      </c>
      <c r="B72" s="23" t="s">
        <v>57</v>
      </c>
      <c r="C72" s="19" t="s">
        <v>280</v>
      </c>
      <c r="D72" s="19" t="s">
        <v>281</v>
      </c>
      <c r="E72" s="19" t="s">
        <v>282</v>
      </c>
      <c r="F72" s="15"/>
    </row>
    <row r="73" spans="1:6" x14ac:dyDescent="0.2">
      <c r="A73" s="15"/>
      <c r="B73" s="15"/>
      <c r="C73" s="15"/>
      <c r="D73" s="15"/>
      <c r="E73" s="15"/>
      <c r="F73" s="15"/>
    </row>
    <row r="74" spans="1:6" x14ac:dyDescent="0.2">
      <c r="A74" s="21"/>
      <c r="B74" s="22"/>
      <c r="C74" s="15"/>
      <c r="D74" s="15"/>
      <c r="E74" s="15"/>
      <c r="F74" s="15"/>
    </row>
    <row r="75" spans="1:6" ht="25.5" x14ac:dyDescent="0.2">
      <c r="A75" s="21" t="s">
        <v>61</v>
      </c>
      <c r="B75" s="20" t="s">
        <v>62</v>
      </c>
      <c r="C75" s="17" t="s">
        <v>251</v>
      </c>
      <c r="D75" s="17" t="s">
        <v>252</v>
      </c>
      <c r="E75" s="17" t="s">
        <v>253</v>
      </c>
      <c r="F75" s="15"/>
    </row>
    <row r="76" spans="1:6" x14ac:dyDescent="0.2">
      <c r="A76" s="21"/>
      <c r="B76" s="20" t="s">
        <v>63</v>
      </c>
      <c r="C76" s="39" t="s">
        <v>134</v>
      </c>
      <c r="D76" s="39" t="s">
        <v>135</v>
      </c>
      <c r="E76" s="39" t="s">
        <v>136</v>
      </c>
      <c r="F76" s="15"/>
    </row>
    <row r="77" spans="1:6" x14ac:dyDescent="0.2">
      <c r="A77" s="21"/>
      <c r="B77" s="15"/>
      <c r="C77" s="15"/>
      <c r="D77" s="15"/>
      <c r="E77" s="15"/>
      <c r="F77" s="15"/>
    </row>
    <row r="78" spans="1:6" x14ac:dyDescent="0.2">
      <c r="A78" s="21"/>
      <c r="B78" s="20" t="s">
        <v>250</v>
      </c>
      <c r="C78" s="20" t="s">
        <v>249</v>
      </c>
      <c r="D78" s="20" t="s">
        <v>219</v>
      </c>
      <c r="E78" s="20" t="s">
        <v>220</v>
      </c>
      <c r="F78" s="15"/>
    </row>
    <row r="79" spans="1:6" x14ac:dyDescent="0.2">
      <c r="A79" s="21"/>
      <c r="B79" s="15"/>
      <c r="C79" s="15"/>
      <c r="D79" s="15"/>
      <c r="E79" s="15"/>
      <c r="F79" s="15"/>
    </row>
    <row r="80" spans="1:6" x14ac:dyDescent="0.2">
      <c r="A80" s="15"/>
      <c r="B80" s="20" t="s">
        <v>172</v>
      </c>
      <c r="C80" s="16" t="s">
        <v>11</v>
      </c>
      <c r="D80" s="16" t="s">
        <v>111</v>
      </c>
      <c r="E80" s="16" t="s">
        <v>73</v>
      </c>
      <c r="F80" s="15"/>
    </row>
    <row r="81" spans="1:6" x14ac:dyDescent="0.2">
      <c r="A81" s="15"/>
      <c r="B81" s="20" t="s">
        <v>171</v>
      </c>
      <c r="C81" s="16" t="s">
        <v>12</v>
      </c>
      <c r="D81" s="16" t="s">
        <v>110</v>
      </c>
      <c r="E81" s="16" t="s">
        <v>74</v>
      </c>
      <c r="F81" s="15"/>
    </row>
    <row r="82" spans="1:6" x14ac:dyDescent="0.2">
      <c r="A82" s="15"/>
      <c r="B82" s="20" t="s">
        <v>170</v>
      </c>
      <c r="C82" s="16" t="s">
        <v>13</v>
      </c>
      <c r="D82" s="16" t="s">
        <v>110</v>
      </c>
      <c r="E82" s="16" t="s">
        <v>75</v>
      </c>
      <c r="F82" s="15"/>
    </row>
    <row r="83" spans="1:6" x14ac:dyDescent="0.2">
      <c r="A83" s="15"/>
      <c r="B83" s="15"/>
      <c r="C83" s="15"/>
      <c r="D83" s="15"/>
      <c r="E83" s="15"/>
      <c r="F83" s="15"/>
    </row>
    <row r="84" spans="1:6" ht="25.5" x14ac:dyDescent="0.2">
      <c r="A84" s="21" t="s">
        <v>254</v>
      </c>
      <c r="B84" s="20" t="s">
        <v>255</v>
      </c>
      <c r="C84" s="17" t="s">
        <v>257</v>
      </c>
      <c r="D84" s="17" t="s">
        <v>259</v>
      </c>
      <c r="E84" s="17" t="s">
        <v>258</v>
      </c>
      <c r="F84" s="15"/>
    </row>
    <row r="85" spans="1:6" x14ac:dyDescent="0.2">
      <c r="A85" s="21"/>
      <c r="B85" s="20" t="s">
        <v>256</v>
      </c>
      <c r="C85" s="39" t="s">
        <v>134</v>
      </c>
      <c r="D85" s="39" t="s">
        <v>135</v>
      </c>
      <c r="E85" s="39" t="s">
        <v>136</v>
      </c>
      <c r="F85" s="15"/>
    </row>
    <row r="86" spans="1:6" x14ac:dyDescent="0.2">
      <c r="A86" s="21"/>
      <c r="B86" s="15"/>
      <c r="C86" s="15"/>
      <c r="D86" s="15"/>
      <c r="E86" s="15"/>
      <c r="F86" s="15"/>
    </row>
    <row r="87" spans="1:6" x14ac:dyDescent="0.2">
      <c r="A87" s="15"/>
      <c r="B87" s="15"/>
      <c r="C87" s="15"/>
      <c r="D87" s="15"/>
      <c r="E87" s="15"/>
      <c r="F87" s="15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1027</Benutzerdefinierte_x0020_ID>
    <Titel_RM xmlns="9d1f6504-c754-4527-a358-047ce8521f96">Enquista da structura da la populaziun – lingua a la lavur, en la scolaziun ed a chasa, 2024</Titel_RM>
    <Titel_DE xmlns="9d1f6504-c754-4527-a358-047ce8521f96">Strukturerhebung Bevölkerung - Sprachen bei der Arbeit, in Ausbildung und zu Hause, 20234</Titel_DE>
    <PublishingExpirationDate xmlns="http://schemas.microsoft.com/sharepoint/v3" xsi:nil="true"/>
    <Kategorie xmlns="9d1f6504-c754-4527-a358-047ce8521f96">Sprache, Religion</Kategorie>
    <PublishingStartDate xmlns="http://schemas.microsoft.com/sharepoint/v3" xsi:nil="true"/>
    <Titel_IT xmlns="9d1f6504-c754-4527-a358-047ce8521f96">Rilevazione strutturale della popolazione - lingue parlate durante il lavoro, la formazione e a casa, 2024</Titel_IT>
  </documentManagement>
</p:properties>
</file>

<file path=customXml/itemProps1.xml><?xml version="1.0" encoding="utf-8"?>
<ds:datastoreItem xmlns:ds="http://schemas.openxmlformats.org/officeDocument/2006/customXml" ds:itemID="{6CBD9AB5-E797-4DD7-BB38-A1F40C93E8BF}"/>
</file>

<file path=customXml/itemProps2.xml><?xml version="1.0" encoding="utf-8"?>
<ds:datastoreItem xmlns:ds="http://schemas.openxmlformats.org/officeDocument/2006/customXml" ds:itemID="{149AE518-F77D-4CE3-A439-D775F925AE07}"/>
</file>

<file path=customXml/itemProps3.xml><?xml version="1.0" encoding="utf-8"?>
<ds:datastoreItem xmlns:ds="http://schemas.openxmlformats.org/officeDocument/2006/customXml" ds:itemID="{3083CCF8-EA5B-4152-8BF0-8C9F05DD51C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Arbeit</vt:lpstr>
      <vt:lpstr>Ausbildung</vt:lpstr>
      <vt:lpstr>zu Hause</vt:lpstr>
      <vt:lpstr>Uebersetzungen</vt:lpstr>
      <vt:lpstr>Arbeit!Druckbereich</vt:lpstr>
      <vt:lpstr>Ausbildung!Druckbereich</vt:lpstr>
      <vt:lpstr>'zu Hause'!Druckbereich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Sprache bei der Arbeit, in Ausbildung und zu Hause</dc:title>
  <dc:creator>Luzius.Stricker@awt.gr.ch</dc:creator>
  <cp:lastModifiedBy>Monstein Urs (AWT GR)</cp:lastModifiedBy>
  <cp:lastPrinted>2018-12-06T18:35:59Z</cp:lastPrinted>
  <dcterms:created xsi:type="dcterms:W3CDTF">2012-06-17T15:40:31Z</dcterms:created>
  <dcterms:modified xsi:type="dcterms:W3CDTF">2026-02-23T08:31:15Z</dcterms:modified>
  <cp:category>SE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2026-01-21T10:16:46Z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dc7a139f-27d4-4f51-91b6-ac271bea783c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0x01010095A83D2D9087C0499BBDDADFE9564913</vt:lpwstr>
  </property>
</Properties>
</file>